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ie\ABRF_GBIRG_OntologyStudy\CellCycle_Analysis\"/>
    </mc:Choice>
  </mc:AlternateContent>
  <xr:revisionPtr revIDLastSave="0" documentId="8_{905318BB-F238-414B-A223-AEA2D9678FE8}" xr6:coauthVersionLast="36" xr6:coauthVersionMax="36" xr10:uidLastSave="{00000000-0000-0000-0000-000000000000}"/>
  <bookViews>
    <workbookView xWindow="120" yWindow="120" windowWidth="23895" windowHeight="14310"/>
  </bookViews>
  <sheets>
    <sheet name="List Report" sheetId="1" r:id="rId1"/>
    <sheet name="Info" sheetId="2" r:id="rId2"/>
  </sheets>
  <definedNames>
    <definedName name="_xlnm._FilterDatabase" localSheetId="0">'List Report'!$A$3:$F$3</definedName>
  </definedNames>
  <calcPr calcId="191029"/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</calcChain>
</file>

<file path=xl/sharedStrings.xml><?xml version="1.0" encoding="utf-8"?>
<sst xmlns="http://schemas.openxmlformats.org/spreadsheetml/2006/main" count="920" uniqueCount="906">
  <si>
    <t>Info</t>
  </si>
  <si>
    <t>General</t>
  </si>
  <si>
    <t>Date</t>
  </si>
  <si>
    <t>2021.01.15</t>
  </si>
  <si>
    <t>Server</t>
  </si>
  <si>
    <t>https://portal.genego.com</t>
  </si>
  <si>
    <t>Version</t>
  </si>
  <si>
    <t>MetaCore+MetaDrug® version 20.4 build 70300.</t>
  </si>
  <si>
    <t>Name</t>
  </si>
  <si>
    <t>Charlie</t>
  </si>
  <si>
    <t>Login</t>
  </si>
  <si>
    <t>charliew</t>
  </si>
  <si>
    <t>Export Settings</t>
  </si>
  <si>
    <t>Homo sapiens</t>
  </si>
  <si>
    <t>Yes</t>
  </si>
  <si>
    <t>Mus musculus</t>
  </si>
  <si>
    <t>No</t>
  </si>
  <si>
    <t>Rattus norvegicus</t>
  </si>
  <si>
    <t>Ortholog</t>
  </si>
  <si>
    <t>With active data only</t>
  </si>
  <si>
    <t>Active Data</t>
  </si>
  <si>
    <t>Names</t>
  </si>
  <si>
    <t>Type</t>
  </si>
  <si>
    <t>Size</t>
  </si>
  <si>
    <t>Assembly</t>
  </si>
  <si>
    <t>Threshold</t>
  </si>
  <si>
    <t>P-value</t>
  </si>
  <si>
    <t>GSE83647_G1vRev</t>
  </si>
  <si>
    <t>General Experiment</t>
  </si>
  <si>
    <t>16814</t>
  </si>
  <si>
    <t>List Report</t>
  </si>
  <si>
    <t>MetaCore Data</t>
  </si>
  <si>
    <t>#</t>
  </si>
  <si>
    <t>Input IDs</t>
  </si>
  <si>
    <t>Network Object Name</t>
  </si>
  <si>
    <t>Gene Symbol</t>
  </si>
  <si>
    <t>YWHAB</t>
  </si>
  <si>
    <t>Signal</t>
  </si>
  <si>
    <t>p-value</t>
  </si>
  <si>
    <t>YWHAE</t>
  </si>
  <si>
    <t>YWHAH</t>
  </si>
  <si>
    <t>YWHAG</t>
  </si>
  <si>
    <t>SFN</t>
  </si>
  <si>
    <t>YWHAQ</t>
  </si>
  <si>
    <t>YWHAZ</t>
  </si>
  <si>
    <t>EIF4EBP1</t>
  </si>
  <si>
    <t>EIF4EBP2</t>
  </si>
  <si>
    <t>NT5C2</t>
  </si>
  <si>
    <t>NT5E</t>
  </si>
  <si>
    <t>ARAF</t>
  </si>
  <si>
    <t>ABCG2</t>
  </si>
  <si>
    <t>ACAA2</t>
  </si>
  <si>
    <t>ACACA</t>
  </si>
  <si>
    <t>ACADL</t>
  </si>
  <si>
    <t>ACAT1</t>
  </si>
  <si>
    <t>ACADS</t>
  </si>
  <si>
    <t>ACOT9</t>
  </si>
  <si>
    <t>ACSL3</t>
  </si>
  <si>
    <t>ACSM3</t>
  </si>
  <si>
    <t>ACTA2</t>
  </si>
  <si>
    <t>ADAM17</t>
  </si>
  <si>
    <t>AGTR1</t>
  </si>
  <si>
    <t>AHR</t>
  </si>
  <si>
    <t>AKAP8</t>
  </si>
  <si>
    <t>AKT1</t>
  </si>
  <si>
    <t>AKT2</t>
  </si>
  <si>
    <t>ALOX12</t>
  </si>
  <si>
    <t>ALOX15</t>
  </si>
  <si>
    <t>ARHGEF6</t>
  </si>
  <si>
    <t>ALPL</t>
  </si>
  <si>
    <t>ALPP</t>
  </si>
  <si>
    <t>AMOTL1</t>
  </si>
  <si>
    <t>AMOTL2</t>
  </si>
  <si>
    <t>AOX1</t>
  </si>
  <si>
    <t>TFAP2A</t>
  </si>
  <si>
    <t>APPL1</t>
  </si>
  <si>
    <t>APPL2</t>
  </si>
  <si>
    <t>SH2B2</t>
  </si>
  <si>
    <t>ARHGEF1</t>
  </si>
  <si>
    <t>ARHGEF2</t>
  </si>
  <si>
    <t>DBF4</t>
  </si>
  <si>
    <t>PPP1R13B</t>
  </si>
  <si>
    <t>TP53BP2</t>
  </si>
  <si>
    <t>ATF2</t>
  </si>
  <si>
    <t>ATF3</t>
  </si>
  <si>
    <t>ATF4</t>
  </si>
  <si>
    <t>ATG13</t>
  </si>
  <si>
    <t>ATM</t>
  </si>
  <si>
    <t>ATOX1</t>
  </si>
  <si>
    <t>ATP7A</t>
  </si>
  <si>
    <t>ATR</t>
  </si>
  <si>
    <t>ATRIP</t>
  </si>
  <si>
    <t>ADCY9</t>
  </si>
  <si>
    <t>ADIPOR1</t>
  </si>
  <si>
    <t>ADIPOR2</t>
  </si>
  <si>
    <t>ADIPOQ</t>
  </si>
  <si>
    <t>AIFM1</t>
  </si>
  <si>
    <t>IKZF3</t>
  </si>
  <si>
    <t>AJUBA</t>
  </si>
  <si>
    <t>CTNNA1</t>
  </si>
  <si>
    <t>AMOT</t>
  </si>
  <si>
    <t>AGT</t>
  </si>
  <si>
    <t>APAF1</t>
  </si>
  <si>
    <t>TNFSF10</t>
  </si>
  <si>
    <t>AURKA</t>
  </si>
  <si>
    <t>AURKB</t>
  </si>
  <si>
    <t>AURKC</t>
  </si>
  <si>
    <t>AXIN2</t>
  </si>
  <si>
    <t>BRAF</t>
  </si>
  <si>
    <t>PPP2R5C</t>
  </si>
  <si>
    <t>BACE1</t>
  </si>
  <si>
    <t>BACH1</t>
  </si>
  <si>
    <t>BAD</t>
  </si>
  <si>
    <t>BDNF</t>
  </si>
  <si>
    <t>BCL2A1</t>
  </si>
  <si>
    <t>BMP2</t>
  </si>
  <si>
    <t>BOC</t>
  </si>
  <si>
    <t>BORA</t>
  </si>
  <si>
    <t>NCAPH</t>
  </si>
  <si>
    <t>BST1</t>
  </si>
  <si>
    <t>BTG2</t>
  </si>
  <si>
    <t>BUB1</t>
  </si>
  <si>
    <t>BUB3</t>
  </si>
  <si>
    <t>BUB1B</t>
  </si>
  <si>
    <t>BARD1</t>
  </si>
  <si>
    <t>BAX</t>
  </si>
  <si>
    <t>BCL2</t>
  </si>
  <si>
    <t>BCL2L1</t>
  </si>
  <si>
    <t>BECN1</t>
  </si>
  <si>
    <t>ADRB2</t>
  </si>
  <si>
    <t>ARRB1</t>
  </si>
  <si>
    <t>ARRB2</t>
  </si>
  <si>
    <t>CTNNB1</t>
  </si>
  <si>
    <t>BID</t>
  </si>
  <si>
    <t>BCL2L11</t>
  </si>
  <si>
    <t>IBSP</t>
  </si>
  <si>
    <t>BRCA1</t>
  </si>
  <si>
    <t>DDIT3</t>
  </si>
  <si>
    <t>CEBPA</t>
  </si>
  <si>
    <t>RAPGEF1</t>
  </si>
  <si>
    <t>CACNA1G</t>
  </si>
  <si>
    <t>CAD</t>
  </si>
  <si>
    <t>SMC4</t>
  </si>
  <si>
    <t>SMC2</t>
  </si>
  <si>
    <t>NCAPG</t>
  </si>
  <si>
    <t>CARM1</t>
  </si>
  <si>
    <t>CREBBP</t>
  </si>
  <si>
    <t>NCBP1</t>
  </si>
  <si>
    <t>CCDC85C</t>
  </si>
  <si>
    <t>CCL2</t>
  </si>
  <si>
    <t>CCL23</t>
  </si>
  <si>
    <t>CCL5</t>
  </si>
  <si>
    <t>CCR3</t>
  </si>
  <si>
    <t>CD36</t>
  </si>
  <si>
    <t>CD38</t>
  </si>
  <si>
    <t>CD4</t>
  </si>
  <si>
    <t>CD44</t>
  </si>
  <si>
    <t>CD9</t>
  </si>
  <si>
    <t>CDC14A</t>
  </si>
  <si>
    <t>CDC14B</t>
  </si>
  <si>
    <t>CDC6</t>
  </si>
  <si>
    <t>CDC20</t>
  </si>
  <si>
    <t>CDC25A</t>
  </si>
  <si>
    <t>CDC25B</t>
  </si>
  <si>
    <t>CDC25C</t>
  </si>
  <si>
    <t>CDC27</t>
  </si>
  <si>
    <t>CDC34</t>
  </si>
  <si>
    <t>CDC37</t>
  </si>
  <si>
    <t>CDC42</t>
  </si>
  <si>
    <t>CDC45</t>
  </si>
  <si>
    <t>CDC7</t>
  </si>
  <si>
    <t>NUF2</t>
  </si>
  <si>
    <t>FZR1</t>
  </si>
  <si>
    <t>CDK1</t>
  </si>
  <si>
    <t>CDK19</t>
  </si>
  <si>
    <t>CDK2</t>
  </si>
  <si>
    <t>CDK4</t>
  </si>
  <si>
    <t>CDK6</t>
  </si>
  <si>
    <t>CDK7</t>
  </si>
  <si>
    <t>CDON</t>
  </si>
  <si>
    <t>CENPA</t>
  </si>
  <si>
    <t>CENPB</t>
  </si>
  <si>
    <t>CENPE</t>
  </si>
  <si>
    <t>CENPF</t>
  </si>
  <si>
    <t>CENPH</t>
  </si>
  <si>
    <t>CEP164</t>
  </si>
  <si>
    <t>CHTF18</t>
  </si>
  <si>
    <t>CKS1B</t>
  </si>
  <si>
    <t>CLIP1</t>
  </si>
  <si>
    <t>XIRP2</t>
  </si>
  <si>
    <t>NCAPD2</t>
  </si>
  <si>
    <t>COL1A1</t>
  </si>
  <si>
    <t>PTGS2</t>
  </si>
  <si>
    <t>CRB3</t>
  </si>
  <si>
    <t>CREB1</t>
  </si>
  <si>
    <t>CRK</t>
  </si>
  <si>
    <t>XPO1</t>
  </si>
  <si>
    <t>CSE1L</t>
  </si>
  <si>
    <t>THEM4</t>
  </si>
  <si>
    <t>CXCR4</t>
  </si>
  <si>
    <t>CYP2E1</t>
  </si>
  <si>
    <t>CAMK2D</t>
  </si>
  <si>
    <t>RASGRP1</t>
  </si>
  <si>
    <t>CALM1</t>
  </si>
  <si>
    <t>CALM2</t>
  </si>
  <si>
    <t>CALM3</t>
  </si>
  <si>
    <t>CAPN1</t>
  </si>
  <si>
    <t>CAPN2</t>
  </si>
  <si>
    <t>CSNK1D</t>
  </si>
  <si>
    <t>CSNK1E</t>
  </si>
  <si>
    <t>CSNK2B</t>
  </si>
  <si>
    <t>CASP1</t>
  </si>
  <si>
    <t>CASP2</t>
  </si>
  <si>
    <t>CASP3</t>
  </si>
  <si>
    <t>CASP7</t>
  </si>
  <si>
    <t>CASP8</t>
  </si>
  <si>
    <t>CASP9</t>
  </si>
  <si>
    <t>CAT</t>
  </si>
  <si>
    <t>CTSD</t>
  </si>
  <si>
    <t>CDT1</t>
  </si>
  <si>
    <t>CHEK1</t>
  </si>
  <si>
    <t>CHEK2</t>
  </si>
  <si>
    <t>CIT</t>
  </si>
  <si>
    <t>CLSPN</t>
  </si>
  <si>
    <t>CLDN2</t>
  </si>
  <si>
    <t>GJA1</t>
  </si>
  <si>
    <t>CRKL</t>
  </si>
  <si>
    <t>CUL1</t>
  </si>
  <si>
    <t>CUL2</t>
  </si>
  <si>
    <t>CUL3</t>
  </si>
  <si>
    <t>CCNA1</t>
  </si>
  <si>
    <t>CCNA2</t>
  </si>
  <si>
    <t>CCNB1</t>
  </si>
  <si>
    <t>CCNB2</t>
  </si>
  <si>
    <t>CCND1</t>
  </si>
  <si>
    <t>CCND2</t>
  </si>
  <si>
    <t>CCND3</t>
  </si>
  <si>
    <t>CCNE1</t>
  </si>
  <si>
    <t>CCNH</t>
  </si>
  <si>
    <t>CYCS</t>
  </si>
  <si>
    <t>DAXX</t>
  </si>
  <si>
    <t>DSCC1</t>
  </si>
  <si>
    <t>DCK</t>
  </si>
  <si>
    <t>DCTN2</t>
  </si>
  <si>
    <t>DDX5</t>
  </si>
  <si>
    <t>CHTF8</t>
  </si>
  <si>
    <t>DGKA</t>
  </si>
  <si>
    <t>DHH</t>
  </si>
  <si>
    <t>DIAPH1</t>
  </si>
  <si>
    <t>DISP1</t>
  </si>
  <si>
    <t>DLL1</t>
  </si>
  <si>
    <t>LIG1</t>
  </si>
  <si>
    <t>PRKDC</t>
  </si>
  <si>
    <t>DNMT1</t>
  </si>
  <si>
    <t>DOK1</t>
  </si>
  <si>
    <t>TFDP1</t>
  </si>
  <si>
    <t>DBF4B</t>
  </si>
  <si>
    <t>DSN1</t>
  </si>
  <si>
    <t>DYRK2</t>
  </si>
  <si>
    <t>DYNC1H1</t>
  </si>
  <si>
    <t>DKC1</t>
  </si>
  <si>
    <t>CDH1</t>
  </si>
  <si>
    <t>E2F1</t>
  </si>
  <si>
    <t>E2F2</t>
  </si>
  <si>
    <t>E2F3</t>
  </si>
  <si>
    <t>E2F4</t>
  </si>
  <si>
    <t>E2F5</t>
  </si>
  <si>
    <t>E2F6</t>
  </si>
  <si>
    <t>SLC9A3R2</t>
  </si>
  <si>
    <t>SLC9A3R1</t>
  </si>
  <si>
    <t>EHHADH</t>
  </si>
  <si>
    <t>ECHS1</t>
  </si>
  <si>
    <t>EGF</t>
  </si>
  <si>
    <t>EGFR</t>
  </si>
  <si>
    <t>EGR1</t>
  </si>
  <si>
    <t>ELAVL1</t>
  </si>
  <si>
    <t>ENPP1</t>
  </si>
  <si>
    <t>ENPP3</t>
  </si>
  <si>
    <t>MAPK3</t>
  </si>
  <si>
    <t>MAPK1</t>
  </si>
  <si>
    <t>MAPK7</t>
  </si>
  <si>
    <t>ESCO1</t>
  </si>
  <si>
    <t>ESR1</t>
  </si>
  <si>
    <t>ETS1</t>
  </si>
  <si>
    <t>ETS2</t>
  </si>
  <si>
    <t>EXO1</t>
  </si>
  <si>
    <t>ELK1</t>
  </si>
  <si>
    <t>FBXO5</t>
  </si>
  <si>
    <t>EDN1</t>
  </si>
  <si>
    <t>EDN2</t>
  </si>
  <si>
    <t>EOMES</t>
  </si>
  <si>
    <t>ERBB4</t>
  </si>
  <si>
    <t>PTK2</t>
  </si>
  <si>
    <t>FASN</t>
  </si>
  <si>
    <t>FBXW8</t>
  </si>
  <si>
    <t>FBXO31</t>
  </si>
  <si>
    <t>FBXW11</t>
  </si>
  <si>
    <t>FBXW7</t>
  </si>
  <si>
    <t>FEN1</t>
  </si>
  <si>
    <t>FGF18</t>
  </si>
  <si>
    <t>FGF2</t>
  </si>
  <si>
    <t>FGF8</t>
  </si>
  <si>
    <t>FOXM1</t>
  </si>
  <si>
    <t>FOXO3</t>
  </si>
  <si>
    <t>FOXP3</t>
  </si>
  <si>
    <t>FRMD4A</t>
  </si>
  <si>
    <t>FAS</t>
  </si>
  <si>
    <t>FN1</t>
  </si>
  <si>
    <t>FLNA</t>
  </si>
  <si>
    <t>FOSL1</t>
  </si>
  <si>
    <t>FOSL2</t>
  </si>
  <si>
    <t>FYN</t>
  </si>
  <si>
    <t>GNA13</t>
  </si>
  <si>
    <t>GNAQ</t>
  </si>
  <si>
    <t>GNAS</t>
  </si>
  <si>
    <t>GNG12</t>
  </si>
  <si>
    <t>G6PD</t>
  </si>
  <si>
    <t>G6PC</t>
  </si>
  <si>
    <t>GAB2</t>
  </si>
  <si>
    <t>GABPB1</t>
  </si>
  <si>
    <t>GADD45A</t>
  </si>
  <si>
    <t>GAS1</t>
  </si>
  <si>
    <t>GATA3</t>
  </si>
  <si>
    <t>GBP1</t>
  </si>
  <si>
    <t>GCGR</t>
  </si>
  <si>
    <t>KAT2A</t>
  </si>
  <si>
    <t>GDNF</t>
  </si>
  <si>
    <t>GLI1</t>
  </si>
  <si>
    <t>GLI2</t>
  </si>
  <si>
    <t>GLI3</t>
  </si>
  <si>
    <t>SLC2A1</t>
  </si>
  <si>
    <t>SLC2A4</t>
  </si>
  <si>
    <t>GLYAT</t>
  </si>
  <si>
    <t>GRAP</t>
  </si>
  <si>
    <t>GRAP2</t>
  </si>
  <si>
    <t>GRB10</t>
  </si>
  <si>
    <t>GRB2</t>
  </si>
  <si>
    <t>GSK3A</t>
  </si>
  <si>
    <t>GSK3B</t>
  </si>
  <si>
    <t>GTSE1</t>
  </si>
  <si>
    <t>GMNN</t>
  </si>
  <si>
    <t>HRAS</t>
  </si>
  <si>
    <t>HAS2</t>
  </si>
  <si>
    <t>HBEGF</t>
  </si>
  <si>
    <t>HSD17B10</t>
  </si>
  <si>
    <t>HADH</t>
  </si>
  <si>
    <t>HDAC3</t>
  </si>
  <si>
    <t>HDAC4</t>
  </si>
  <si>
    <t>HDAC6</t>
  </si>
  <si>
    <t>HDAC7</t>
  </si>
  <si>
    <t>NDC80</t>
  </si>
  <si>
    <t>HES1</t>
  </si>
  <si>
    <t>HES5</t>
  </si>
  <si>
    <t>HEY1</t>
  </si>
  <si>
    <t>HEY2</t>
  </si>
  <si>
    <t>HHAT</t>
  </si>
  <si>
    <t>HIF1A</t>
  </si>
  <si>
    <t>HHIP</t>
  </si>
  <si>
    <t>HIPK2</t>
  </si>
  <si>
    <t>HMGCS2</t>
  </si>
  <si>
    <t>CBX5</t>
  </si>
  <si>
    <t>CBX3</t>
  </si>
  <si>
    <t>HSF1</t>
  </si>
  <si>
    <t>HUS1</t>
  </si>
  <si>
    <t>HK2</t>
  </si>
  <si>
    <t>ZWINT</t>
  </si>
  <si>
    <t>HMOX1</t>
  </si>
  <si>
    <t>ID1</t>
  </si>
  <si>
    <t>ID2</t>
  </si>
  <si>
    <t>ID3</t>
  </si>
  <si>
    <t>IDO1</t>
  </si>
  <si>
    <t>IDO2</t>
  </si>
  <si>
    <t>IFITM1</t>
  </si>
  <si>
    <t>IFNB1</t>
  </si>
  <si>
    <t>IGF1R</t>
  </si>
  <si>
    <t>CHUK</t>
  </si>
  <si>
    <t>IKBKB</t>
  </si>
  <si>
    <t>IKBKG</t>
  </si>
  <si>
    <t>IL1B</t>
  </si>
  <si>
    <t>IL10</t>
  </si>
  <si>
    <t>IL13</t>
  </si>
  <si>
    <t>IL15</t>
  </si>
  <si>
    <t>IL16</t>
  </si>
  <si>
    <t>IL2RA</t>
  </si>
  <si>
    <t>IL2RB</t>
  </si>
  <si>
    <t>IL2RG</t>
  </si>
  <si>
    <t>IL4</t>
  </si>
  <si>
    <t>IL6</t>
  </si>
  <si>
    <t>IL13RA2</t>
  </si>
  <si>
    <t>IL7R</t>
  </si>
  <si>
    <t>ILK</t>
  </si>
  <si>
    <t>IGF2BP1</t>
  </si>
  <si>
    <t>INCENP</t>
  </si>
  <si>
    <t>PPP1R2</t>
  </si>
  <si>
    <t>IRF1</t>
  </si>
  <si>
    <t>IRF3</t>
  </si>
  <si>
    <t>IRS1</t>
  </si>
  <si>
    <t>IRS2</t>
  </si>
  <si>
    <t>ITGB2</t>
  </si>
  <si>
    <t>ITGB3</t>
  </si>
  <si>
    <t>INSR</t>
  </si>
  <si>
    <t>INVS</t>
  </si>
  <si>
    <t>ITCH</t>
  </si>
  <si>
    <t>COPS5</t>
  </si>
  <si>
    <t>JAK1</t>
  </si>
  <si>
    <t>JAK2</t>
  </si>
  <si>
    <t>JAK3</t>
  </si>
  <si>
    <t>TAOK3</t>
  </si>
  <si>
    <t>MAPK8</t>
  </si>
  <si>
    <t>MAPK9</t>
  </si>
  <si>
    <t>JUNB</t>
  </si>
  <si>
    <t>JUND</t>
  </si>
  <si>
    <t>KRAS</t>
  </si>
  <si>
    <t>WWC1</t>
  </si>
  <si>
    <t>KIF27</t>
  </si>
  <si>
    <t>KIF3A</t>
  </si>
  <si>
    <t>KLF4</t>
  </si>
  <si>
    <t>KLF5</t>
  </si>
  <si>
    <t>KIF11</t>
  </si>
  <si>
    <t>KPNB1</t>
  </si>
  <si>
    <t>KIF22</t>
  </si>
  <si>
    <t>PKMYT1</t>
  </si>
  <si>
    <t>XRCC6</t>
  </si>
  <si>
    <t>XRCC5</t>
  </si>
  <si>
    <t>ARHGEF12</t>
  </si>
  <si>
    <t>LATS1</t>
  </si>
  <si>
    <t>LATS2</t>
  </si>
  <si>
    <t>LBH</t>
  </si>
  <si>
    <t>LIF</t>
  </si>
  <si>
    <t>LIMD1</t>
  </si>
  <si>
    <t>LIMK2</t>
  </si>
  <si>
    <t>LPIN1</t>
  </si>
  <si>
    <t>STK11</t>
  </si>
  <si>
    <t>LPAR1</t>
  </si>
  <si>
    <t>LPAR2</t>
  </si>
  <si>
    <t>LPAR3</t>
  </si>
  <si>
    <t>LPAR5</t>
  </si>
  <si>
    <t>LPAR6</t>
  </si>
  <si>
    <t>NR5A2</t>
  </si>
  <si>
    <t>LRR1</t>
  </si>
  <si>
    <t>SSB</t>
  </si>
  <si>
    <t>LCK</t>
  </si>
  <si>
    <t>LEF1</t>
  </si>
  <si>
    <t>ELANE</t>
  </si>
  <si>
    <t>LYN</t>
  </si>
  <si>
    <t>MAD1L1</t>
  </si>
  <si>
    <t>MAD2L1</t>
  </si>
  <si>
    <t>MAD2L2</t>
  </si>
  <si>
    <t>MAF1</t>
  </si>
  <si>
    <t>LIN7C</t>
  </si>
  <si>
    <t>MAP2K5</t>
  </si>
  <si>
    <t>MAPKAPK2</t>
  </si>
  <si>
    <t>MARK1</t>
  </si>
  <si>
    <t>MARK4</t>
  </si>
  <si>
    <t>TAOK1</t>
  </si>
  <si>
    <t>ANKHD1</t>
  </si>
  <si>
    <t>MNAT1</t>
  </si>
  <si>
    <t>SLC47A1</t>
  </si>
  <si>
    <t>SLC47A2</t>
  </si>
  <si>
    <t>MCM10</t>
  </si>
  <si>
    <t>MCM2</t>
  </si>
  <si>
    <t>MCM3</t>
  </si>
  <si>
    <t>MCM4</t>
  </si>
  <si>
    <t>MCM5</t>
  </si>
  <si>
    <t>SLC16A1</t>
  </si>
  <si>
    <t>SLC16A4</t>
  </si>
  <si>
    <t>MCU</t>
  </si>
  <si>
    <t>MDM2</t>
  </si>
  <si>
    <t>MEF2A</t>
  </si>
  <si>
    <t>MEF2C</t>
  </si>
  <si>
    <t>MAP2K1</t>
  </si>
  <si>
    <t>MAP2K2</t>
  </si>
  <si>
    <t>MAP2K3</t>
  </si>
  <si>
    <t>MAP2K4</t>
  </si>
  <si>
    <t>MAP2K6</t>
  </si>
  <si>
    <t>MAP3K1</t>
  </si>
  <si>
    <t>MAP3K4</t>
  </si>
  <si>
    <t>ENAH</t>
  </si>
  <si>
    <t>KITLG</t>
  </si>
  <si>
    <t>CCL3</t>
  </si>
  <si>
    <t>CCL4</t>
  </si>
  <si>
    <t>MIS12</t>
  </si>
  <si>
    <t>PPP1CB</t>
  </si>
  <si>
    <t>PPP1R12A</t>
  </si>
  <si>
    <t>MLH1</t>
  </si>
  <si>
    <t>MAP3K10</t>
  </si>
  <si>
    <t>MAP3K11</t>
  </si>
  <si>
    <t>MMP14</t>
  </si>
  <si>
    <t>MMP2</t>
  </si>
  <si>
    <t>MMP9</t>
  </si>
  <si>
    <t>MKNK1</t>
  </si>
  <si>
    <t>MOB1B</t>
  </si>
  <si>
    <t>MPP5</t>
  </si>
  <si>
    <t>MSH2</t>
  </si>
  <si>
    <t>MSH3</t>
  </si>
  <si>
    <t>MSH6</t>
  </si>
  <si>
    <t>RPS6KA5</t>
  </si>
  <si>
    <t>RPS6KA4</t>
  </si>
  <si>
    <t>MTHFD2</t>
  </si>
  <si>
    <t>MVK</t>
  </si>
  <si>
    <t>MYH11</t>
  </si>
  <si>
    <t>MYL9</t>
  </si>
  <si>
    <t>MAX</t>
  </si>
  <si>
    <t>MCL1</t>
  </si>
  <si>
    <t>MOB1A</t>
  </si>
  <si>
    <t>NCOR1</t>
  </si>
  <si>
    <t>NADSYN1</t>
  </si>
  <si>
    <t>QPRT</t>
  </si>
  <si>
    <t>NANOG</t>
  </si>
  <si>
    <t>NCOA1</t>
  </si>
  <si>
    <t>NCOA3</t>
  </si>
  <si>
    <t>NEDD4</t>
  </si>
  <si>
    <t>NEDD4L</t>
  </si>
  <si>
    <t>NEK1</t>
  </si>
  <si>
    <t>NEK6</t>
  </si>
  <si>
    <t>NEK7</t>
  </si>
  <si>
    <t>NEK9</t>
  </si>
  <si>
    <t>NFATC1</t>
  </si>
  <si>
    <t>NFKB1</t>
  </si>
  <si>
    <t>NFKB2</t>
  </si>
  <si>
    <t>ILF3</t>
  </si>
  <si>
    <t>MDC1</t>
  </si>
  <si>
    <t>NFKBIA</t>
  </si>
  <si>
    <t>NFKBIB</t>
  </si>
  <si>
    <t>NGF</t>
  </si>
  <si>
    <t>MAP3K14</t>
  </si>
  <si>
    <t>NMNAT1</t>
  </si>
  <si>
    <t>NMNAT2</t>
  </si>
  <si>
    <t>NMNAT3</t>
  </si>
  <si>
    <t>NNMT</t>
  </si>
  <si>
    <t>NNT</t>
  </si>
  <si>
    <t>NODAL</t>
  </si>
  <si>
    <t>NOTCH1</t>
  </si>
  <si>
    <t>NOTCH3</t>
  </si>
  <si>
    <t>NOX5</t>
  </si>
  <si>
    <t>NFE2L2</t>
  </si>
  <si>
    <t>NMRK1</t>
  </si>
  <si>
    <t>NSL1</t>
  </si>
  <si>
    <t>NT5C3A</t>
  </si>
  <si>
    <t>NUDT12</t>
  </si>
  <si>
    <t>NUMA1</t>
  </si>
  <si>
    <t>NUMB</t>
  </si>
  <si>
    <t>NR4A1</t>
  </si>
  <si>
    <t>NEK11</t>
  </si>
  <si>
    <t>NEK2</t>
  </si>
  <si>
    <t>NEK8</t>
  </si>
  <si>
    <t>NPHP4</t>
  </si>
  <si>
    <t>NEGR1</t>
  </si>
  <si>
    <t>NCL</t>
  </si>
  <si>
    <t>TIAL1</t>
  </si>
  <si>
    <t>OAS1</t>
  </si>
  <si>
    <t>ORC1</t>
  </si>
  <si>
    <t>ORC2</t>
  </si>
  <si>
    <t>ORC3</t>
  </si>
  <si>
    <t>ORC4</t>
  </si>
  <si>
    <t>ORC5</t>
  </si>
  <si>
    <t>ORC6</t>
  </si>
  <si>
    <t>POSTN</t>
  </si>
  <si>
    <t>OXSR1</t>
  </si>
  <si>
    <t>POU5F1</t>
  </si>
  <si>
    <t>BGLAP</t>
  </si>
  <si>
    <t>SPP1</t>
  </si>
  <si>
    <t>TNFRSF11B</t>
  </si>
  <si>
    <t>PRKRA</t>
  </si>
  <si>
    <t>PAK1</t>
  </si>
  <si>
    <t>PALB2</t>
  </si>
  <si>
    <t>PAM</t>
  </si>
  <si>
    <t>F2R</t>
  </si>
  <si>
    <t>PARD3</t>
  </si>
  <si>
    <t>PARN</t>
  </si>
  <si>
    <t>PARP1</t>
  </si>
  <si>
    <t>PAX3</t>
  </si>
  <si>
    <t>NAMPT</t>
  </si>
  <si>
    <t>PCBP4</t>
  </si>
  <si>
    <t>PCNA</t>
  </si>
  <si>
    <t>PDCD4</t>
  </si>
  <si>
    <t>PDGFA</t>
  </si>
  <si>
    <t>PDGFB</t>
  </si>
  <si>
    <t>PDGFC</t>
  </si>
  <si>
    <t>PDGFD</t>
  </si>
  <si>
    <t>POLDIP3</t>
  </si>
  <si>
    <t>PDPK1</t>
  </si>
  <si>
    <t>PDK1</t>
  </si>
  <si>
    <t>PDS5A</t>
  </si>
  <si>
    <t>ARHGEF11</t>
  </si>
  <si>
    <t>PEA15</t>
  </si>
  <si>
    <t>SERPINF1</t>
  </si>
  <si>
    <t>PNPLA2</t>
  </si>
  <si>
    <t>PER3</t>
  </si>
  <si>
    <t>PTPN14</t>
  </si>
  <si>
    <t>PFKP</t>
  </si>
  <si>
    <t>PIK3CA</t>
  </si>
  <si>
    <t>PIK3CB</t>
  </si>
  <si>
    <t>PIK3CG</t>
  </si>
  <si>
    <t>PIK3R1</t>
  </si>
  <si>
    <t>PJA2</t>
  </si>
  <si>
    <t>PRKACA</t>
  </si>
  <si>
    <t>PRKCA</t>
  </si>
  <si>
    <t>PRKCD</t>
  </si>
  <si>
    <t>PRKCE</t>
  </si>
  <si>
    <t>PRKCQ</t>
  </si>
  <si>
    <t>PRKCZ</t>
  </si>
  <si>
    <t>EIF2AK2</t>
  </si>
  <si>
    <t>PLCB3</t>
  </si>
  <si>
    <t>PLCD1</t>
  </si>
  <si>
    <t>PLCE1</t>
  </si>
  <si>
    <t>PLCH1</t>
  </si>
  <si>
    <t>PLCG1</t>
  </si>
  <si>
    <t>PLD1</t>
  </si>
  <si>
    <t>PLD2</t>
  </si>
  <si>
    <t>PLEKHG2</t>
  </si>
  <si>
    <t>PGF</t>
  </si>
  <si>
    <t>PLK1</t>
  </si>
  <si>
    <t>PLK3</t>
  </si>
  <si>
    <t>PMF1</t>
  </si>
  <si>
    <t>PML</t>
  </si>
  <si>
    <t>SLC25A17</t>
  </si>
  <si>
    <t>PMS1</t>
  </si>
  <si>
    <t>PNP</t>
  </si>
  <si>
    <t>POLD1</t>
  </si>
  <si>
    <t>POLD4</t>
  </si>
  <si>
    <t>POLD2</t>
  </si>
  <si>
    <t>POLD3</t>
  </si>
  <si>
    <t>POT1</t>
  </si>
  <si>
    <t>PPP1CA</t>
  </si>
  <si>
    <t>PPP2CA</t>
  </si>
  <si>
    <t>PPARA</t>
  </si>
  <si>
    <t>PPARG</t>
  </si>
  <si>
    <t>PPARGC1A</t>
  </si>
  <si>
    <t>PCK1</t>
  </si>
  <si>
    <t>PPIF</t>
  </si>
  <si>
    <t>NADK</t>
  </si>
  <si>
    <t>PPP1R12B</t>
  </si>
  <si>
    <t>PPP1R12C</t>
  </si>
  <si>
    <t>PPP2R5A</t>
  </si>
  <si>
    <t>AKT1S1</t>
  </si>
  <si>
    <t>PREX1</t>
  </si>
  <si>
    <t>PKN1</t>
  </si>
  <si>
    <t>PRKD1</t>
  </si>
  <si>
    <t>PRMT1</t>
  </si>
  <si>
    <t>PTCH1</t>
  </si>
  <si>
    <t>ACOT8</t>
  </si>
  <si>
    <t>PTEN</t>
  </si>
  <si>
    <t>ACD</t>
  </si>
  <si>
    <t>BBC3</t>
  </si>
  <si>
    <t>PYGM</t>
  </si>
  <si>
    <t>PAWR</t>
  </si>
  <si>
    <t>PXN</t>
  </si>
  <si>
    <t>PRRX1</t>
  </si>
  <si>
    <t>PITX2</t>
  </si>
  <si>
    <t>PTK2B</t>
  </si>
  <si>
    <t>RAG1</t>
  </si>
  <si>
    <t>CRADD</t>
  </si>
  <si>
    <t>TNFSF11</t>
  </si>
  <si>
    <t>RAP1A</t>
  </si>
  <si>
    <t>RAP1B</t>
  </si>
  <si>
    <t>RASSF1</t>
  </si>
  <si>
    <t>RASSF2</t>
  </si>
  <si>
    <t>RASSF5</t>
  </si>
  <si>
    <t>RASSF6</t>
  </si>
  <si>
    <t>RBBP8</t>
  </si>
  <si>
    <t>RBPJ</t>
  </si>
  <si>
    <t>RCC1</t>
  </si>
  <si>
    <t>RECK</t>
  </si>
  <si>
    <t>RFC1</t>
  </si>
  <si>
    <t>RFC3</t>
  </si>
  <si>
    <t>RFWD3</t>
  </si>
  <si>
    <t>RGL2</t>
  </si>
  <si>
    <t>HMMR</t>
  </si>
  <si>
    <t>RHEB</t>
  </si>
  <si>
    <t>RBX1</t>
  </si>
  <si>
    <t>RIPK1</t>
  </si>
  <si>
    <t>ROCK1</t>
  </si>
  <si>
    <t>ROCK2</t>
  </si>
  <si>
    <t>RORC</t>
  </si>
  <si>
    <t>RPA1</t>
  </si>
  <si>
    <t>RPA2</t>
  </si>
  <si>
    <t>RPA3</t>
  </si>
  <si>
    <t>RPL22</t>
  </si>
  <si>
    <t>RPS6</t>
  </si>
  <si>
    <t>RRN3</t>
  </si>
  <si>
    <t>RUNX2</t>
  </si>
  <si>
    <t>RAB10</t>
  </si>
  <si>
    <t>RAC1</t>
  </si>
  <si>
    <t>RAD21</t>
  </si>
  <si>
    <t>RALA</t>
  </si>
  <si>
    <t>RAN</t>
  </si>
  <si>
    <t>RB1</t>
  </si>
  <si>
    <t>RELA</t>
  </si>
  <si>
    <t>RPRM</t>
  </si>
  <si>
    <t>RHOA</t>
  </si>
  <si>
    <t>ARHGAP5</t>
  </si>
  <si>
    <t>ARHGDIA</t>
  </si>
  <si>
    <t>RNASEH1</t>
  </si>
  <si>
    <t>RICTOR</t>
  </si>
  <si>
    <t>KNTC1</t>
  </si>
  <si>
    <t>RYR1</t>
  </si>
  <si>
    <t>S1PR2</t>
  </si>
  <si>
    <t>SAP18</t>
  </si>
  <si>
    <t>ZFYVE9</t>
  </si>
  <si>
    <t>SC5D</t>
  </si>
  <si>
    <t>SCD</t>
  </si>
  <si>
    <t>SCRIB</t>
  </si>
  <si>
    <t>CXCL12</t>
  </si>
  <si>
    <t>SGK1</t>
  </si>
  <si>
    <t>SPEN</t>
  </si>
  <si>
    <t>PTPN6</t>
  </si>
  <si>
    <t>PTPN11</t>
  </si>
  <si>
    <t>SIAH2</t>
  </si>
  <si>
    <t>MAPKAP1</t>
  </si>
  <si>
    <t>ZEB2</t>
  </si>
  <si>
    <t>SIVA1</t>
  </si>
  <si>
    <t>SKP1</t>
  </si>
  <si>
    <t>SKP2</t>
  </si>
  <si>
    <t>SLC12A1</t>
  </si>
  <si>
    <t>SLC16A3</t>
  </si>
  <si>
    <t>SLC22A13</t>
  </si>
  <si>
    <t>SLC22A2</t>
  </si>
  <si>
    <t>SLC29A2</t>
  </si>
  <si>
    <t>SLC36A1</t>
  </si>
  <si>
    <t>SLC4A2</t>
  </si>
  <si>
    <t>SLC5A12</t>
  </si>
  <si>
    <t>SNAI2</t>
  </si>
  <si>
    <t>SMAD1</t>
  </si>
  <si>
    <t>SMAD2</t>
  </si>
  <si>
    <t>SMAD3</t>
  </si>
  <si>
    <t>SMAD4</t>
  </si>
  <si>
    <t>BANP</t>
  </si>
  <si>
    <t>SMC1A</t>
  </si>
  <si>
    <t>SMC3</t>
  </si>
  <si>
    <t>SMG1</t>
  </si>
  <si>
    <t>SNAI1</t>
  </si>
  <si>
    <t>SOCS1</t>
  </si>
  <si>
    <t>SOD3</t>
  </si>
  <si>
    <t>SOS1</t>
  </si>
  <si>
    <t>SOX17</t>
  </si>
  <si>
    <t>SOX2</t>
  </si>
  <si>
    <t>SOX9</t>
  </si>
  <si>
    <t>SP1</t>
  </si>
  <si>
    <t>SP3</t>
  </si>
  <si>
    <t>SP7</t>
  </si>
  <si>
    <t>SPC24</t>
  </si>
  <si>
    <t>SPC25</t>
  </si>
  <si>
    <t>SPOP</t>
  </si>
  <si>
    <t>SREBF2</t>
  </si>
  <si>
    <t>SRF</t>
  </si>
  <si>
    <t>SSH1</t>
  </si>
  <si>
    <t>STAM</t>
  </si>
  <si>
    <t>STAT1</t>
  </si>
  <si>
    <t>STAT2</t>
  </si>
  <si>
    <t>STAT3</t>
  </si>
  <si>
    <t>STAT6</t>
  </si>
  <si>
    <t>STK3</t>
  </si>
  <si>
    <t>STK36</t>
  </si>
  <si>
    <t>STK4</t>
  </si>
  <si>
    <t>SUFU</t>
  </si>
  <si>
    <t>NF2</t>
  </si>
  <si>
    <t>PTTG1</t>
  </si>
  <si>
    <t>SEMA7A</t>
  </si>
  <si>
    <t>ESPL1</t>
  </si>
  <si>
    <t>SHC1</t>
  </si>
  <si>
    <t>SIN3A</t>
  </si>
  <si>
    <t>SIRT1</t>
  </si>
  <si>
    <t>SMO</t>
  </si>
  <si>
    <t>SP8</t>
  </si>
  <si>
    <t>STAU1</t>
  </si>
  <si>
    <t>BIRC5</t>
  </si>
  <si>
    <t>SYK</t>
  </si>
  <si>
    <t>MAP3K7</t>
  </si>
  <si>
    <t>TAOK2</t>
  </si>
  <si>
    <t>TARBP2</t>
  </si>
  <si>
    <t>WWTR1</t>
  </si>
  <si>
    <t>TBC1D4</t>
  </si>
  <si>
    <t>TBX5</t>
  </si>
  <si>
    <t>TBXA2R</t>
  </si>
  <si>
    <t>TCF7</t>
  </si>
  <si>
    <t>TCF7L1</t>
  </si>
  <si>
    <t>TCF7L2</t>
  </si>
  <si>
    <t>TEC</t>
  </si>
  <si>
    <t>TEAD1</t>
  </si>
  <si>
    <t>TEAD4</t>
  </si>
  <si>
    <t>TEAD2</t>
  </si>
  <si>
    <t>TEAD3</t>
  </si>
  <si>
    <t>PLXDC1</t>
  </si>
  <si>
    <t>TEP1</t>
  </si>
  <si>
    <t>TERC</t>
  </si>
  <si>
    <t>TERT</t>
  </si>
  <si>
    <t>TFEB</t>
  </si>
  <si>
    <t>GTF2I</t>
  </si>
  <si>
    <t>TGFB1</t>
  </si>
  <si>
    <t>TGFB2</t>
  </si>
  <si>
    <t>TGFBR1</t>
  </si>
  <si>
    <t>TGFBR2</t>
  </si>
  <si>
    <t>TINF2</t>
  </si>
  <si>
    <t>TLR3</t>
  </si>
  <si>
    <t>TLR4</t>
  </si>
  <si>
    <t>TNFRSF1A</t>
  </si>
  <si>
    <t>TNF</t>
  </si>
  <si>
    <t>TOP1</t>
  </si>
  <si>
    <t>TOP2A</t>
  </si>
  <si>
    <t>TOPBP1</t>
  </si>
  <si>
    <t>TPX2</t>
  </si>
  <si>
    <t>TRAF2</t>
  </si>
  <si>
    <t>TRAF3</t>
  </si>
  <si>
    <t>TRAF6</t>
  </si>
  <si>
    <t>TICAM2</t>
  </si>
  <si>
    <t>TERF1</t>
  </si>
  <si>
    <t>TERF2</t>
  </si>
  <si>
    <t>TICAM1</t>
  </si>
  <si>
    <t>TRIP6</t>
  </si>
  <si>
    <t>TRPC6</t>
  </si>
  <si>
    <t>TTK</t>
  </si>
  <si>
    <t>TWIST1</t>
  </si>
  <si>
    <t>TNKS</t>
  </si>
  <si>
    <t>TNKS2</t>
  </si>
  <si>
    <t>TNC</t>
  </si>
  <si>
    <t>F2</t>
  </si>
  <si>
    <t>THBD</t>
  </si>
  <si>
    <t>TIAM1</t>
  </si>
  <si>
    <t>TOB1</t>
  </si>
  <si>
    <t>CDCA3</t>
  </si>
  <si>
    <t>TAGLN</t>
  </si>
  <si>
    <t>TSC2</t>
  </si>
  <si>
    <t>TYK2</t>
  </si>
  <si>
    <t>UBA1</t>
  </si>
  <si>
    <t>UBE2C</t>
  </si>
  <si>
    <t>UBTF</t>
  </si>
  <si>
    <t>UCA1</t>
  </si>
  <si>
    <t>UCP2</t>
  </si>
  <si>
    <t>AXL</t>
  </si>
  <si>
    <t>ULK1</t>
  </si>
  <si>
    <t>ULK2</t>
  </si>
  <si>
    <t>USF1</t>
  </si>
  <si>
    <t>VASP</t>
  </si>
  <si>
    <t>VAV1</t>
  </si>
  <si>
    <t>VEGFA</t>
  </si>
  <si>
    <t>FLT1</t>
  </si>
  <si>
    <t>VCAN</t>
  </si>
  <si>
    <t>VCL</t>
  </si>
  <si>
    <t>WBP2</t>
  </si>
  <si>
    <t>WDHD1</t>
  </si>
  <si>
    <t>WRN</t>
  </si>
  <si>
    <t>WTIP</t>
  </si>
  <si>
    <t>SAV1</t>
  </si>
  <si>
    <t>WEE1</t>
  </si>
  <si>
    <t>FRMD6</t>
  </si>
  <si>
    <t>XDH</t>
  </si>
  <si>
    <t>YAP1</t>
  </si>
  <si>
    <t>YBX1</t>
  </si>
  <si>
    <t>YY1</t>
  </si>
  <si>
    <t>DAPK3</t>
  </si>
  <si>
    <t>TJP2</t>
  </si>
  <si>
    <t>ZW10</t>
  </si>
  <si>
    <t>ZWILCH</t>
  </si>
  <si>
    <t>BTRC</t>
  </si>
  <si>
    <t>ABL1</t>
  </si>
  <si>
    <t>CBL</t>
  </si>
  <si>
    <t>CFLAR</t>
  </si>
  <si>
    <t>FOS</t>
  </si>
  <si>
    <t>BIRC2</t>
  </si>
  <si>
    <t>BIRC3</t>
  </si>
  <si>
    <t>JUN</t>
  </si>
  <si>
    <t>KIT</t>
  </si>
  <si>
    <t>MAF</t>
  </si>
  <si>
    <t>MYB</t>
  </si>
  <si>
    <t>MYC</t>
  </si>
  <si>
    <t>RAF1</t>
  </si>
  <si>
    <t>SRC</t>
  </si>
  <si>
    <t>EEF2</t>
  </si>
  <si>
    <t>EEF2K</t>
  </si>
  <si>
    <t>EIF2S1</t>
  </si>
  <si>
    <t>EIF4B</t>
  </si>
  <si>
    <t>EIF4E</t>
  </si>
  <si>
    <t>NOS3</t>
  </si>
  <si>
    <t>IL6ST</t>
  </si>
  <si>
    <t>TERF2IP</t>
  </si>
  <si>
    <t>HNRNPA0</t>
  </si>
  <si>
    <t>HNRNPA1</t>
  </si>
  <si>
    <t>HNRNPC</t>
  </si>
  <si>
    <t>HNRNPK</t>
  </si>
  <si>
    <t>MTOR</t>
  </si>
  <si>
    <t>MIR21</t>
  </si>
  <si>
    <t>CHRFAM7A</t>
  </si>
  <si>
    <t>CHRNA7</t>
  </si>
  <si>
    <t>RBL1</t>
  </si>
  <si>
    <t>RASA1</t>
  </si>
  <si>
    <t>RBL2</t>
  </si>
  <si>
    <t>BCAR1</t>
  </si>
  <si>
    <t>CDKN2A</t>
  </si>
  <si>
    <t>CDKN2B</t>
  </si>
  <si>
    <t>ARHGAP35</t>
  </si>
  <si>
    <t>CDKN1A</t>
  </si>
  <si>
    <t>PTGES3</t>
  </si>
  <si>
    <t>CDKN1B</t>
  </si>
  <si>
    <t>EP300</t>
  </si>
  <si>
    <t>MAPK14</t>
  </si>
  <si>
    <t>MAPK12</t>
  </si>
  <si>
    <t>NCF1</t>
  </si>
  <si>
    <t>TP53</t>
  </si>
  <si>
    <t>TP53BP1</t>
  </si>
  <si>
    <t>TP63</t>
  </si>
  <si>
    <t>RPS6KB1</t>
  </si>
  <si>
    <t>RPS6KB2</t>
  </si>
  <si>
    <t>TP73</t>
  </si>
  <si>
    <t>RPS6KA1</t>
  </si>
  <si>
    <t>RPS6KA3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</si>
</sst>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9"/>
      <name val="Arial"/>
    </font>
    <font>
      <b/>
      <sz val="10"/>
      <color indexed="8"/>
      <name val="Arial"/>
    </font>
    <font>
      <sz val="10"/>
      <color indexed="8"/>
      <name val="Arial"/>
    </font>
    <font>
      <u/>
      <sz val="10"/>
      <color indexed="12"/>
      <name val="Arial"/>
    </font>
    <font>
      <b/>
      <sz val="10"/>
      <color indexed="8"/>
      <name val="Arial"/>
    </font>
    <font>
      <b/>
      <sz val="12"/>
      <color indexed="9"/>
      <name val="Arial"/>
    </font>
    <font>
      <sz val="16"/>
      <color indexed="8"/>
      <name val="Arial"/>
    </font>
    <font>
      <sz val="14"/>
      <color indexed="8"/>
      <name val="Arial"/>
    </font>
    <font>
      <b/>
      <sz val="11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6"/>
      <color indexed="8"/>
      <name val="Arial"/>
    </font>
    <font>
      <b/>
      <sz val="14"/>
      <color indexed="9"/>
      <name val="Arial"/>
    </font>
  </fonts>
  <fills count="22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right" vertical="top" wrapText="1"/>
    </xf>
    <xf numFmtId="0" fontId="1" fillId="6" borderId="1" xfId="0" applyFont="1" applyFill="1" applyBorder="1" applyAlignment="1">
      <alignment horizontal="right" vertical="top" wrapText="1"/>
    </xf>
    <xf numFmtId="0" fontId="2" fillId="7" borderId="1" xfId="0" applyFont="1" applyFill="1" applyBorder="1" applyAlignment="1">
      <alignment horizontal="right" vertical="top" wrapText="1"/>
    </xf>
    <xf numFmtId="0" fontId="2" fillId="8" borderId="1" xfId="0" applyFont="1" applyFill="1" applyBorder="1" applyAlignment="1">
      <alignment horizontal="right" vertical="top" wrapText="1"/>
    </xf>
    <xf numFmtId="0" fontId="2" fillId="9" borderId="1" xfId="0" applyFont="1" applyFill="1" applyBorder="1" applyAlignment="1">
      <alignment horizontal="right" vertical="top" wrapText="1"/>
    </xf>
    <xf numFmtId="0" fontId="2" fillId="10" borderId="1" xfId="0" applyFont="1" applyFill="1" applyBorder="1" applyAlignment="1">
      <alignment horizontal="right" vertical="top" wrapText="1"/>
    </xf>
    <xf numFmtId="0" fontId="1" fillId="11" borderId="1" xfId="0" applyFont="1" applyFill="1" applyBorder="1" applyAlignment="1">
      <alignment horizontal="right" vertical="top" wrapText="1"/>
    </xf>
    <xf numFmtId="0" fontId="1" fillId="12" borderId="1" xfId="0" applyFont="1" applyFill="1" applyBorder="1" applyAlignment="1">
      <alignment horizontal="right" vertical="top" wrapText="1"/>
    </xf>
    <xf numFmtId="0" fontId="1" fillId="13" borderId="1" xfId="0" applyFont="1" applyFill="1" applyBorder="1" applyAlignment="1">
      <alignment horizontal="right" vertical="top" wrapText="1"/>
    </xf>
    <xf numFmtId="0" fontId="1" fillId="14" borderId="1" xfId="0" applyFont="1" applyFill="1" applyBorder="1" applyAlignment="1">
      <alignment horizontal="right" vertical="top" wrapText="1"/>
    </xf>
    <xf numFmtId="0" fontId="2" fillId="15" borderId="1" xfId="0" applyFont="1" applyFill="1" applyBorder="1" applyAlignment="1">
      <alignment horizontal="right" vertical="top" wrapText="1"/>
    </xf>
    <xf numFmtId="0" fontId="2" fillId="16" borderId="1" xfId="0" applyFont="1" applyFill="1" applyBorder="1" applyAlignment="1">
      <alignment horizontal="right" vertical="top" wrapText="1"/>
    </xf>
    <xf numFmtId="0" fontId="2" fillId="17" borderId="1" xfId="0" applyFont="1" applyFill="1" applyBorder="1" applyAlignment="1">
      <alignment horizontal="right" vertical="top" wrapText="1"/>
    </xf>
    <xf numFmtId="0" fontId="2" fillId="18" borderId="1" xfId="0" applyFont="1" applyFill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7" fillId="0" borderId="4" xfId="0" applyFont="1" applyBorder="1" applyAlignment="1">
      <alignment vertical="top" wrapText="1"/>
    </xf>
    <xf numFmtId="0" fontId="10" fillId="0" borderId="0" xfId="0" applyFont="1" applyAlignment="1"/>
    <xf numFmtId="0" fontId="11" fillId="0" borderId="0" xfId="0" applyFont="1" applyAlignment="1"/>
    <xf numFmtId="0" fontId="12" fillId="0" borderId="4" xfId="0" applyFont="1" applyBorder="1" applyAlignment="1"/>
    <xf numFmtId="0" fontId="13" fillId="0" borderId="4" xfId="0" applyFont="1" applyBorder="1" applyAlignment="1"/>
    <xf numFmtId="0" fontId="14" fillId="0" borderId="0" xfId="0" applyFont="1" applyAlignment="1">
      <alignment horizontal="left"/>
    </xf>
    <xf numFmtId="0" fontId="15" fillId="0" borderId="0" xfId="0" applyFont="1" applyAlignment="1"/>
    <xf numFmtId="0" fontId="4" fillId="21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6" fillId="20" borderId="3" xfId="0" applyFont="1" applyFill="1" applyBorder="1" applyAlignment="1"/>
    <xf numFmtId="0" fontId="9" fillId="19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050"/>
      <rgbColor rgb="00000080"/>
      <rgbColor rgb="00808000"/>
      <rgbColor rgb="00538ED5"/>
      <rgbColor rgb="00F79646"/>
      <rgbColor rgb="00C0C0C0"/>
      <rgbColor rgb="005A5A5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E0E0FF"/>
      <rgbColor rgb="00C0C0FF"/>
      <rgbColor rgb="00A0A0FF"/>
      <rgbColor rgb="008080FF"/>
      <rgbColor rgb="006060FF"/>
      <rgbColor rgb="004040FF"/>
      <rgbColor rgb="002020FF"/>
      <rgbColor rgb="000000FF"/>
      <rgbColor rgb="00FFE0E0"/>
      <rgbColor rgb="00FFC0C0"/>
      <rgbColor rgb="00FFA0A0"/>
      <rgbColor rgb="00FF8080"/>
      <rgbColor rgb="00FF6060"/>
      <rgbColor rgb="00FF4040"/>
      <rgbColor rgb="00FF2020"/>
      <rgbColor rgb="00FF0000"/>
      <rgbColor rgb="00969696"/>
      <rgbColor rgb="00FF99CC"/>
      <rgbColor rgb="00808000"/>
      <rgbColor rgb="0033CCCC"/>
      <rgbColor rgb="0099CC00"/>
      <rgbColor rgb="00CC99FF"/>
      <rgbColor rgb="00FFFF99"/>
      <rgbColor rgb="00CCFFCC"/>
      <rgbColor rgb="00C0C0C0"/>
      <rgbColor rgb="0099CCFF"/>
      <rgbColor rgb="00FFCC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5"/>
  <sheetViews>
    <sheetView tabSelected="1" zoomScale="90" workbookViewId="0">
      <pane xSplit="3" ySplit="3" topLeftCell="D880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7" customWidth="1"/>
    <col min="2" max="4" width="14" customWidth="1"/>
    <col min="5" max="6" width="10" customWidth="1"/>
  </cols>
  <sheetData>
    <row r="1" spans="1:6" ht="21" customHeight="1" x14ac:dyDescent="0.3">
      <c r="A1" s="25" t="s">
        <v>30</v>
      </c>
    </row>
    <row r="2" spans="1:6" ht="29.45" customHeight="1" x14ac:dyDescent="0.25">
      <c r="A2" s="31" t="s">
        <v>31</v>
      </c>
      <c r="B2" s="31"/>
      <c r="C2" s="31"/>
      <c r="D2" s="31"/>
      <c r="E2" s="32" t="s">
        <v>27</v>
      </c>
      <c r="F2" s="32"/>
    </row>
    <row r="3" spans="1:6" ht="37.5" customHeight="1" x14ac:dyDescent="0.25">
      <c r="A3" s="26" t="s">
        <v>32</v>
      </c>
      <c r="B3" s="26" t="s">
        <v>33</v>
      </c>
      <c r="C3" s="26" t="s">
        <v>34</v>
      </c>
      <c r="D3" s="26" t="s">
        <v>35</v>
      </c>
      <c r="E3" s="29" t="s">
        <v>37</v>
      </c>
      <c r="F3" s="30" t="s">
        <v>38</v>
      </c>
    </row>
    <row r="4" spans="1:6" ht="60" customHeight="1" x14ac:dyDescent="0.25">
      <c r="A4" s="27">
        <v>1</v>
      </c>
      <c r="B4" s="28" t="s">
        <v>36</v>
      </c>
      <c r="C4" s="19" t="str">
        <f>HYPERLINK("https://portal.genego.com/cgi/entity_page.cgi?term=100&amp;id=-1290719455","14-3-3 beta/alpha")</f>
        <v>14-3-3 beta/alpha</v>
      </c>
      <c r="D4" s="19" t="str">
        <f>HYPERLINK("https://portal.genego.com/cgi/entity_page.cgi?term=20&amp;id=224029049","YWHAB")</f>
        <v>YWHAB</v>
      </c>
      <c r="E4" s="8">
        <v>4.1150696862383603E-2</v>
      </c>
      <c r="F4" s="17">
        <v>0.82097399999999998</v>
      </c>
    </row>
    <row r="5" spans="1:6" ht="60" customHeight="1" x14ac:dyDescent="0.25">
      <c r="A5" s="27">
        <v>2</v>
      </c>
      <c r="B5" s="28" t="s">
        <v>39</v>
      </c>
      <c r="C5" s="19" t="str">
        <f>HYPERLINK("https://portal.genego.com/cgi/entity_page.cgi?term=100&amp;id=-1945489910","14-3-3 epsilon")</f>
        <v>14-3-3 epsilon</v>
      </c>
      <c r="D5" s="19" t="str">
        <f>HYPERLINK("https://portal.genego.com/cgi/entity_page.cgi?term=20&amp;id=-1245886927","YWHAE")</f>
        <v>YWHAE</v>
      </c>
      <c r="E5" s="15">
        <v>-0.145731058009611</v>
      </c>
      <c r="F5" s="17">
        <v>0.35576229999999998</v>
      </c>
    </row>
    <row r="6" spans="1:6" ht="60" customHeight="1" x14ac:dyDescent="0.25">
      <c r="A6" s="27">
        <v>3</v>
      </c>
      <c r="B6" s="28" t="s">
        <v>40</v>
      </c>
      <c r="C6" s="19" t="str">
        <f>HYPERLINK("https://portal.genego.com/cgi/entity_page.cgi?term=100&amp;id=9218","14-3-3 eta")</f>
        <v>14-3-3 eta</v>
      </c>
      <c r="D6" s="19" t="str">
        <f>HYPERLINK("https://portal.genego.com/cgi/entity_page.cgi?term=20&amp;id=-2132034578","YWHAH")</f>
        <v>YWHAH</v>
      </c>
      <c r="E6" s="16">
        <v>-1.3219652914530399E-2</v>
      </c>
      <c r="F6" s="17">
        <v>0.94579849999999999</v>
      </c>
    </row>
    <row r="7" spans="1:6" ht="60" customHeight="1" x14ac:dyDescent="0.25">
      <c r="A7" s="27">
        <v>4</v>
      </c>
      <c r="B7" s="28" t="s">
        <v>41</v>
      </c>
      <c r="C7" s="19" t="str">
        <f>HYPERLINK("https://portal.genego.com/cgi/entity_page.cgi?term=100&amp;id=-1660013282","14-3-3 gamma")</f>
        <v>14-3-3 gamma</v>
      </c>
      <c r="D7" s="19" t="str">
        <f>HYPERLINK("https://portal.genego.com/cgi/entity_page.cgi?term=20&amp;id=-1983369798","YWHAG")</f>
        <v>YWHAG</v>
      </c>
      <c r="E7" s="7">
        <v>0.14572486436264201</v>
      </c>
      <c r="F7" s="17">
        <v>0.37430400000000003</v>
      </c>
    </row>
    <row r="8" spans="1:6" ht="60" customHeight="1" x14ac:dyDescent="0.25">
      <c r="A8" s="27">
        <v>5</v>
      </c>
      <c r="B8" s="28" t="s">
        <v>42</v>
      </c>
      <c r="C8" s="19" t="str">
        <f>HYPERLINK("https://portal.genego.com/cgi/entity_page.cgi?term=100&amp;id=-401309399","14-3-3 sigma")</f>
        <v>14-3-3 sigma</v>
      </c>
      <c r="D8" s="19" t="str">
        <f>HYPERLINK("https://portal.genego.com/cgi/entity_page.cgi?term=20&amp;id=-1569890759","SFN")</f>
        <v>SFN</v>
      </c>
      <c r="E8" s="8">
        <v>9.4911122838516604E-3</v>
      </c>
      <c r="F8" s="17">
        <v>1</v>
      </c>
    </row>
    <row r="9" spans="1:6" ht="60" customHeight="1" x14ac:dyDescent="0.25">
      <c r="A9" s="27">
        <v>6</v>
      </c>
      <c r="B9" s="28" t="s">
        <v>43</v>
      </c>
      <c r="C9" s="19" t="str">
        <f>HYPERLINK("https://portal.genego.com/cgi/entity_page.cgi?term=100&amp;id=-306445393","14-3-3 theta")</f>
        <v>14-3-3 theta</v>
      </c>
      <c r="D9" s="19" t="str">
        <f>HYPERLINK("https://portal.genego.com/cgi/entity_page.cgi?term=20&amp;id=231682584","YWHAQ")</f>
        <v>YWHAQ</v>
      </c>
      <c r="E9" s="16">
        <v>-6.4436250868133996E-2</v>
      </c>
      <c r="F9" s="17">
        <v>0.7017428</v>
      </c>
    </row>
    <row r="10" spans="1:6" ht="60" customHeight="1" x14ac:dyDescent="0.25">
      <c r="A10" s="27">
        <v>7</v>
      </c>
      <c r="B10" s="28" t="s">
        <v>44</v>
      </c>
      <c r="C10" s="19" t="str">
        <f>HYPERLINK("https://portal.genego.com/cgi/entity_page.cgi?term=100&amp;id=-75562856","14-3-3 zeta/delta")</f>
        <v>14-3-3 zeta/delta</v>
      </c>
      <c r="D10" s="19" t="str">
        <f>HYPERLINK("https://portal.genego.com/cgi/entity_page.cgi?term=20&amp;id=-1600593808","YWHAZ")</f>
        <v>YWHAZ</v>
      </c>
      <c r="E10" s="16">
        <v>-1.6533210282054098E-2</v>
      </c>
      <c r="F10" s="17">
        <v>0.93633719999999998</v>
      </c>
    </row>
    <row r="11" spans="1:6" ht="60" customHeight="1" x14ac:dyDescent="0.25">
      <c r="A11" s="27">
        <v>8</v>
      </c>
      <c r="B11" s="28" t="s">
        <v>45</v>
      </c>
      <c r="C11" s="19" t="str">
        <f>HYPERLINK("https://portal.genego.com/cgi/entity_page.cgi?term=100&amp;id=12","4E-BP1")</f>
        <v>4E-BP1</v>
      </c>
      <c r="D11" s="19" t="str">
        <f>HYPERLINK("https://portal.genego.com/cgi/entity_page.cgi?term=20&amp;id=1262177556","EIF4EBP1")</f>
        <v>EIF4EBP1</v>
      </c>
      <c r="E11" s="14">
        <v>-0.30421604208129499</v>
      </c>
      <c r="F11" s="17">
        <v>0.1181712</v>
      </c>
    </row>
    <row r="12" spans="1:6" ht="60" customHeight="1" x14ac:dyDescent="0.25">
      <c r="A12" s="27">
        <v>9</v>
      </c>
      <c r="B12" s="28" t="s">
        <v>46</v>
      </c>
      <c r="C12" s="19" t="str">
        <f>HYPERLINK("https://portal.genego.com/cgi/entity_page.cgi?term=100&amp;id=9072","4E-BP2")</f>
        <v>4E-BP2</v>
      </c>
      <c r="D12" s="19" t="str">
        <f>HYPERLINK("https://portal.genego.com/cgi/entity_page.cgi?term=20&amp;id=-1122319950","EIF4EBP2")</f>
        <v>EIF4EBP2</v>
      </c>
      <c r="E12" s="7">
        <v>0.22169402598884599</v>
      </c>
      <c r="F12" s="17">
        <v>0.21518989999999999</v>
      </c>
    </row>
    <row r="13" spans="1:6" ht="60" customHeight="1" x14ac:dyDescent="0.25">
      <c r="A13" s="27">
        <v>10</v>
      </c>
      <c r="B13" s="28" t="s">
        <v>47</v>
      </c>
      <c r="C13" s="19" t="str">
        <f>HYPERLINK("https://portal.genego.com/cgi/entity_page.cgi?term=100&amp;id=-227881734","5'-NTC")</f>
        <v>5'-NTC</v>
      </c>
      <c r="D13" s="19" t="str">
        <f>HYPERLINK("https://portal.genego.com/cgi/entity_page.cgi?term=20&amp;id=-852346604","NT5C2")</f>
        <v>NT5C2</v>
      </c>
      <c r="E13" s="7">
        <v>0.17451180462567201</v>
      </c>
      <c r="F13" s="17">
        <v>0.23501269999999999</v>
      </c>
    </row>
    <row r="14" spans="1:6" ht="60" customHeight="1" x14ac:dyDescent="0.25">
      <c r="A14" s="27">
        <v>11</v>
      </c>
      <c r="B14" s="28" t="s">
        <v>48</v>
      </c>
      <c r="C14" s="19" t="str">
        <f>HYPERLINK("https://portal.genego.com/cgi/entity_page.cgi?term=100&amp;id=9049","5'-NTD")</f>
        <v>5'-NTD</v>
      </c>
      <c r="D14" s="19" t="str">
        <f>HYPERLINK("https://portal.genego.com/cgi/entity_page.cgi?term=20&amp;id=606100624","NT5E")</f>
        <v>NT5E</v>
      </c>
      <c r="E14" s="15">
        <v>-0.230282284513008</v>
      </c>
      <c r="F14" s="17">
        <v>0.11594790000000001</v>
      </c>
    </row>
    <row r="15" spans="1:6" ht="60" customHeight="1" x14ac:dyDescent="0.25">
      <c r="A15" s="27">
        <v>12</v>
      </c>
      <c r="B15" s="28" t="s">
        <v>49</v>
      </c>
      <c r="C15" s="19" t="str">
        <f>HYPERLINK("https://portal.genego.com/cgi/entity_page.cgi?term=100&amp;id=2610","A-Raf-1")</f>
        <v>A-Raf-1</v>
      </c>
      <c r="D15" s="19" t="str">
        <f>HYPERLINK("https://portal.genego.com/cgi/entity_page.cgi?term=20&amp;id=-1098484793","ARAF")</f>
        <v>ARAF</v>
      </c>
      <c r="E15" s="8">
        <v>4.2696186984520899E-2</v>
      </c>
      <c r="F15" s="17">
        <v>0.82433350000000005</v>
      </c>
    </row>
    <row r="16" spans="1:6" ht="60" customHeight="1" x14ac:dyDescent="0.25">
      <c r="A16" s="27">
        <v>13</v>
      </c>
      <c r="B16" s="28" t="s">
        <v>50</v>
      </c>
      <c r="C16" s="19" t="str">
        <f>HYPERLINK("https://portal.genego.com/cgi/entity_page.cgi?term=100&amp;id=-1201626374","ABCG2")</f>
        <v>ABCG2</v>
      </c>
      <c r="D16" s="19" t="str">
        <f>HYPERLINK("https://portal.genego.com/cgi/entity_page.cgi?term=20&amp;id=-615408060","ABCG2")</f>
        <v>ABCG2</v>
      </c>
      <c r="E16" s="8">
        <v>9.06826733553452E-3</v>
      </c>
      <c r="F16" s="17">
        <v>0.95594190000000001</v>
      </c>
    </row>
    <row r="17" spans="1:6" ht="60" customHeight="1" x14ac:dyDescent="0.25">
      <c r="A17" s="27">
        <v>14</v>
      </c>
      <c r="B17" s="28" t="s">
        <v>51</v>
      </c>
      <c r="C17" s="19" t="str">
        <f>HYPERLINK("https://portal.genego.com/cgi/entity_page.cgi?term=100&amp;id=-1836317518","ACAA2")</f>
        <v>ACAA2</v>
      </c>
      <c r="D17" s="19" t="str">
        <f>HYPERLINK("https://portal.genego.com/cgi/entity_page.cgi?term=20&amp;id=571577543","ACAA2")</f>
        <v>ACAA2</v>
      </c>
      <c r="E17" s="15">
        <v>-0.18433834272310601</v>
      </c>
      <c r="F17" s="17">
        <v>0.28578880000000001</v>
      </c>
    </row>
    <row r="18" spans="1:6" ht="60" customHeight="1" x14ac:dyDescent="0.25">
      <c r="A18" s="27">
        <v>15</v>
      </c>
      <c r="B18" s="28" t="s">
        <v>52</v>
      </c>
      <c r="C18" s="19" t="str">
        <f>HYPERLINK("https://portal.genego.com/cgi/entity_page.cgi?term=100&amp;id=2281","ACACA")</f>
        <v>ACACA</v>
      </c>
      <c r="D18" s="19" t="str">
        <f>HYPERLINK("https://portal.genego.com/cgi/entity_page.cgi?term=20&amp;id=735318405","ACACA")</f>
        <v>ACACA</v>
      </c>
      <c r="E18" s="8">
        <v>4.35638291089872E-2</v>
      </c>
      <c r="F18" s="17">
        <v>0.83069179999999998</v>
      </c>
    </row>
    <row r="19" spans="1:6" ht="60" customHeight="1" x14ac:dyDescent="0.25">
      <c r="A19" s="27">
        <v>16</v>
      </c>
      <c r="B19" s="28" t="s">
        <v>53</v>
      </c>
      <c r="C19" s="19" t="str">
        <f>HYPERLINK("https://portal.genego.com/cgi/entity_page.cgi?term=100&amp;id=4594","ACADL")</f>
        <v>ACADL</v>
      </c>
      <c r="D19" s="19" t="str">
        <f>HYPERLINK("https://portal.genego.com/cgi/entity_page.cgi?term=20&amp;id=1043163348","ACADL")</f>
        <v>ACADL</v>
      </c>
      <c r="E19" s="16">
        <v>-7.1338608020274197E-2</v>
      </c>
      <c r="F19" s="17">
        <v>1</v>
      </c>
    </row>
    <row r="20" spans="1:6" ht="60" customHeight="1" x14ac:dyDescent="0.25">
      <c r="A20" s="27">
        <v>17</v>
      </c>
      <c r="B20" s="28" t="s">
        <v>54</v>
      </c>
      <c r="C20" s="19" t="str">
        <f>HYPERLINK("https://portal.genego.com/cgi/entity_page.cgi?term=100&amp;id=8092","ACAT1")</f>
        <v>ACAT1</v>
      </c>
      <c r="D20" s="19" t="str">
        <f>HYPERLINK("https://portal.genego.com/cgi/entity_page.cgi?term=20&amp;id=210749219","ACAT1")</f>
        <v>ACAT1</v>
      </c>
      <c r="E20" s="14">
        <v>-0.41500588483249101</v>
      </c>
      <c r="F20" s="17">
        <v>7.7366800000000001E-3</v>
      </c>
    </row>
    <row r="21" spans="1:6" ht="60" customHeight="1" x14ac:dyDescent="0.25">
      <c r="A21" s="27">
        <v>18</v>
      </c>
      <c r="B21" s="28" t="s">
        <v>55</v>
      </c>
      <c r="C21" s="19" t="str">
        <f>HYPERLINK("https://portal.genego.com/cgi/entity_page.cgi?term=100&amp;id=-1863943328","ACDS")</f>
        <v>ACDS</v>
      </c>
      <c r="D21" s="19" t="str">
        <f>HYPERLINK("https://portal.genego.com/cgi/entity_page.cgi?term=20&amp;id=-19083030","ACADS")</f>
        <v>ACADS</v>
      </c>
      <c r="E21" s="16">
        <v>-2.9907780207160801E-2</v>
      </c>
      <c r="F21" s="17">
        <v>1</v>
      </c>
    </row>
    <row r="22" spans="1:6" ht="60" customHeight="1" x14ac:dyDescent="0.25">
      <c r="A22" s="27">
        <v>19</v>
      </c>
      <c r="B22" s="28" t="s">
        <v>56</v>
      </c>
      <c r="C22" s="19" t="str">
        <f>HYPERLINK("https://portal.genego.com/cgi/entity_page.cgi?term=100&amp;id=-935544201","ACOT9")</f>
        <v>ACOT9</v>
      </c>
      <c r="D22" s="19" t="str">
        <f>HYPERLINK("https://portal.genego.com/cgi/entity_page.cgi?term=20&amp;id=-1013931161","ACOT9")</f>
        <v>ACOT9</v>
      </c>
      <c r="E22" s="16">
        <v>-5.4631344935124497E-2</v>
      </c>
      <c r="F22" s="17">
        <v>0.76479549999999996</v>
      </c>
    </row>
    <row r="23" spans="1:6" ht="60" customHeight="1" x14ac:dyDescent="0.25">
      <c r="A23" s="27">
        <v>20</v>
      </c>
      <c r="B23" s="28" t="s">
        <v>57</v>
      </c>
      <c r="C23" s="19" t="str">
        <f>HYPERLINK("https://portal.genego.com/cgi/entity_page.cgi?term=100&amp;id=-328491412","ACSL3")</f>
        <v>ACSL3</v>
      </c>
      <c r="D23" s="19" t="str">
        <f>HYPERLINK("https://portal.genego.com/cgi/entity_page.cgi?term=20&amp;id=-1896121047","ACSL3")</f>
        <v>ACSL3</v>
      </c>
      <c r="E23" s="15">
        <v>-0.11892607528125999</v>
      </c>
      <c r="F23" s="17">
        <v>0.48515409999999998</v>
      </c>
    </row>
    <row r="24" spans="1:6" ht="60" customHeight="1" x14ac:dyDescent="0.25">
      <c r="A24" s="27">
        <v>21</v>
      </c>
      <c r="B24" s="28" t="s">
        <v>58</v>
      </c>
      <c r="C24" s="19" t="str">
        <f>HYPERLINK("https://portal.genego.com/cgi/entity_page.cgi?term=100&amp;id=-557940633","ACSM3")</f>
        <v>ACSM3</v>
      </c>
      <c r="D24" s="19" t="str">
        <f>HYPERLINK("https://portal.genego.com/cgi/entity_page.cgi?term=20&amp;id=-1843777866","ACSM3")</f>
        <v>ACSM3</v>
      </c>
      <c r="E24" s="16">
        <v>-4.0609581977506498E-2</v>
      </c>
      <c r="F24" s="17">
        <v>1</v>
      </c>
    </row>
    <row r="25" spans="1:6" ht="60" customHeight="1" x14ac:dyDescent="0.25">
      <c r="A25" s="27">
        <v>22</v>
      </c>
      <c r="B25" s="28" t="s">
        <v>59</v>
      </c>
      <c r="C25" s="19" t="str">
        <f>HYPERLINK("https://portal.genego.com/cgi/entity_page.cgi?term=100&amp;id=-44341259","ACTA2")</f>
        <v>ACTA2</v>
      </c>
      <c r="D25" s="19" t="str">
        <f>HYPERLINK("https://portal.genego.com/cgi/entity_page.cgi?term=20&amp;id=-142264524","ACTA2")</f>
        <v>ACTA2</v>
      </c>
      <c r="E25" s="16">
        <v>-5.2191920543663298E-2</v>
      </c>
      <c r="F25" s="17">
        <v>0.78334490000000001</v>
      </c>
    </row>
    <row r="26" spans="1:6" ht="60" customHeight="1" x14ac:dyDescent="0.25">
      <c r="A26" s="27">
        <v>23</v>
      </c>
      <c r="B26" s="28" t="s">
        <v>60</v>
      </c>
      <c r="C26" s="19" t="str">
        <f>HYPERLINK("https://portal.genego.com/cgi/entity_page.cgi?term=100&amp;id=745","ADAM17")</f>
        <v>ADAM17</v>
      </c>
      <c r="D26" s="19" t="str">
        <f>HYPERLINK("https://portal.genego.com/cgi/entity_page.cgi?term=20&amp;id=-2106840873","ADAM17")</f>
        <v>ADAM17</v>
      </c>
      <c r="E26" s="8">
        <v>1.96756980864311E-2</v>
      </c>
      <c r="F26" s="17">
        <v>0.92735449999999997</v>
      </c>
    </row>
    <row r="27" spans="1:6" ht="60" customHeight="1" x14ac:dyDescent="0.25">
      <c r="A27" s="27">
        <v>24</v>
      </c>
      <c r="B27" s="28" t="s">
        <v>61</v>
      </c>
      <c r="C27" s="19" t="str">
        <f>HYPERLINK("https://portal.genego.com/cgi/entity_page.cgi?term=100&amp;id=719715579","AGTR1")</f>
        <v>AGTR1</v>
      </c>
      <c r="D27" s="19" t="str">
        <f>HYPERLINK("https://portal.genego.com/cgi/entity_page.cgi?term=20&amp;id=-1036407849","AGTR1")</f>
        <v>AGTR1</v>
      </c>
      <c r="E27" s="16">
        <v>-6.3819214803900104E-3</v>
      </c>
      <c r="F27" s="17">
        <v>0.95807819999999999</v>
      </c>
    </row>
    <row r="28" spans="1:6" ht="60" customHeight="1" x14ac:dyDescent="0.25">
      <c r="A28" s="27">
        <v>25</v>
      </c>
      <c r="B28" s="28" t="s">
        <v>62</v>
      </c>
      <c r="C28" s="19" t="str">
        <f>HYPERLINK("https://portal.genego.com/cgi/entity_page.cgi?term=100&amp;id=58","AHR")</f>
        <v>AHR</v>
      </c>
      <c r="D28" s="19" t="str">
        <f>HYPERLINK("https://portal.genego.com/cgi/entity_page.cgi?term=20&amp;id=1745981427","AHR")</f>
        <v>AHR</v>
      </c>
      <c r="E28" s="8">
        <v>2.1665991664912999E-2</v>
      </c>
      <c r="F28" s="17">
        <v>0.91330420000000001</v>
      </c>
    </row>
    <row r="29" spans="1:6" ht="60" customHeight="1" x14ac:dyDescent="0.25">
      <c r="A29" s="27">
        <v>26</v>
      </c>
      <c r="B29" s="28" t="s">
        <v>63</v>
      </c>
      <c r="C29" s="19" t="str">
        <f>HYPERLINK("https://portal.genego.com/cgi/entity_page.cgi?term=100&amp;id=-1715449495","AKAP8")</f>
        <v>AKAP8</v>
      </c>
      <c r="D29" s="19" t="str">
        <f>HYPERLINK("https://portal.genego.com/cgi/entity_page.cgi?term=20&amp;id=42587787","AKAP8")</f>
        <v>AKAP8</v>
      </c>
      <c r="E29" s="16">
        <v>-3.9481938514366897E-2</v>
      </c>
      <c r="F29" s="17">
        <v>0.83686380000000005</v>
      </c>
    </row>
    <row r="30" spans="1:6" ht="60" customHeight="1" x14ac:dyDescent="0.25">
      <c r="A30" s="27">
        <v>27</v>
      </c>
      <c r="B30" s="28" t="s">
        <v>64</v>
      </c>
      <c r="C30" s="19" t="str">
        <f>HYPERLINK("https://portal.genego.com/cgi/entity_page.cgi?term=100&amp;id=6381","AKT1")</f>
        <v>AKT1</v>
      </c>
      <c r="D30" s="19" t="str">
        <f>HYPERLINK("https://portal.genego.com/cgi/entity_page.cgi?term=20&amp;id=352068689","AKT1")</f>
        <v>AKT1</v>
      </c>
      <c r="E30" s="15">
        <v>-0.116706736077406</v>
      </c>
      <c r="F30" s="17">
        <v>0.45748220000000001</v>
      </c>
    </row>
    <row r="31" spans="1:6" ht="60" customHeight="1" x14ac:dyDescent="0.25">
      <c r="A31" s="27">
        <v>28</v>
      </c>
      <c r="B31" s="28" t="s">
        <v>65</v>
      </c>
      <c r="C31" s="19" t="str">
        <f>HYPERLINK("https://portal.genego.com/cgi/entity_page.cgi?term=100&amp;id=6072","AKT2")</f>
        <v>AKT2</v>
      </c>
      <c r="D31" s="19" t="str">
        <f>HYPERLINK("https://portal.genego.com/cgi/entity_page.cgi?term=20&amp;id=-1118656772","AKT2")</f>
        <v>AKT2</v>
      </c>
      <c r="E31" s="16">
        <v>-5.0998917628101E-2</v>
      </c>
      <c r="F31" s="17">
        <v>0.7684105</v>
      </c>
    </row>
    <row r="32" spans="1:6" ht="60" customHeight="1" x14ac:dyDescent="0.25">
      <c r="A32" s="27">
        <v>29</v>
      </c>
      <c r="B32" s="28" t="s">
        <v>66</v>
      </c>
      <c r="C32" s="19" t="str">
        <f>HYPERLINK("https://portal.genego.com/cgi/entity_page.cgi?term=100&amp;id=4541","ALOX12")</f>
        <v>ALOX12</v>
      </c>
      <c r="D32" s="19" t="str">
        <f>HYPERLINK("https://portal.genego.com/cgi/entity_page.cgi?term=20&amp;id=92523687","ALOX12")</f>
        <v>ALOX12</v>
      </c>
      <c r="E32" s="15">
        <v>-0.13820674624652499</v>
      </c>
      <c r="F32" s="17">
        <v>0.248472</v>
      </c>
    </row>
    <row r="33" spans="1:6" ht="60" customHeight="1" x14ac:dyDescent="0.25">
      <c r="A33" s="27">
        <v>30</v>
      </c>
      <c r="B33" s="28" t="s">
        <v>67</v>
      </c>
      <c r="C33" s="19" t="str">
        <f>HYPERLINK("https://portal.genego.com/cgi/entity_page.cgi?term=100&amp;id=8051","ALOX15")</f>
        <v>ALOX15</v>
      </c>
      <c r="D33" s="19" t="str">
        <f>HYPERLINK("https://portal.genego.com/cgi/entity_page.cgi?term=20&amp;id=-1568267020","ALOX15")</f>
        <v>ALOX15</v>
      </c>
      <c r="E33" s="8">
        <v>7.27150743133254E-3</v>
      </c>
      <c r="F33" s="17">
        <v>1</v>
      </c>
    </row>
    <row r="34" spans="1:6" ht="60" customHeight="1" x14ac:dyDescent="0.25">
      <c r="A34" s="27">
        <v>31</v>
      </c>
      <c r="B34" s="28" t="s">
        <v>68</v>
      </c>
      <c r="C34" s="19" t="str">
        <f>HYPERLINK("https://portal.genego.com/cgi/entity_page.cgi?term=100&amp;id=2426","ALPHA-PIX")</f>
        <v>ALPHA-PIX</v>
      </c>
      <c r="D34" s="19" t="str">
        <f>HYPERLINK("https://portal.genego.com/cgi/entity_page.cgi?term=20&amp;id=933511578","ARHGEF6")</f>
        <v>ARHGEF6</v>
      </c>
      <c r="E34" s="15">
        <v>-0.156404084892971</v>
      </c>
      <c r="F34" s="17">
        <v>0.38828289999999999</v>
      </c>
    </row>
    <row r="35" spans="1:6" ht="60" customHeight="1" x14ac:dyDescent="0.25">
      <c r="A35" s="27">
        <v>32</v>
      </c>
      <c r="B35" s="28" t="s">
        <v>69</v>
      </c>
      <c r="C35" s="19" t="str">
        <f>HYPERLINK("https://portal.genego.com/cgi/entity_page.cgi?term=100&amp;id=-1953133416","ALPL")</f>
        <v>ALPL</v>
      </c>
      <c r="D35" s="19" t="str">
        <f>HYPERLINK("https://portal.genego.com/cgi/entity_page.cgi?term=20&amp;id=2008171694","ALPL")</f>
        <v>ALPL</v>
      </c>
      <c r="E35" s="8">
        <v>9.2278902408685402E-5</v>
      </c>
      <c r="F35" s="17">
        <v>1</v>
      </c>
    </row>
    <row r="36" spans="1:6" ht="60" customHeight="1" x14ac:dyDescent="0.25">
      <c r="A36" s="27">
        <v>33</v>
      </c>
      <c r="B36" s="28" t="s">
        <v>70</v>
      </c>
      <c r="C36" s="19" t="str">
        <f>HYPERLINK("https://portal.genego.com/cgi/entity_page.cgi?term=100&amp;id=9183","ALPP")</f>
        <v>ALPP</v>
      </c>
      <c r="D36" s="19" t="str">
        <f>HYPERLINK("https://portal.genego.com/cgi/entity_page.cgi?term=20&amp;id=-1108432254","ALPP")</f>
        <v>ALPP</v>
      </c>
      <c r="E36" s="16">
        <v>-4.38742405988541E-3</v>
      </c>
      <c r="F36" s="17">
        <v>1</v>
      </c>
    </row>
    <row r="37" spans="1:6" ht="60" customHeight="1" x14ac:dyDescent="0.25">
      <c r="A37" s="27">
        <v>34</v>
      </c>
      <c r="B37" s="28" t="s">
        <v>71</v>
      </c>
      <c r="C37" s="19" t="str">
        <f>HYPERLINK("https://portal.genego.com/cgi/entity_page.cgi?term=100&amp;id=-1873083997","AMOTL1 (Jeap)")</f>
        <v>AMOTL1 (Jeap)</v>
      </c>
      <c r="D37" s="19" t="str">
        <f>HYPERLINK("https://portal.genego.com/cgi/entity_page.cgi?term=20&amp;id=1929646646","AMOTL1")</f>
        <v>AMOTL1</v>
      </c>
      <c r="E37" s="6">
        <v>0.40054859587015601</v>
      </c>
      <c r="F37" s="17">
        <v>5.5040100000000002E-2</v>
      </c>
    </row>
    <row r="38" spans="1:6" ht="60" customHeight="1" x14ac:dyDescent="0.25">
      <c r="A38" s="27">
        <v>35</v>
      </c>
      <c r="B38" s="28" t="s">
        <v>72</v>
      </c>
      <c r="C38" s="19" t="str">
        <f>HYPERLINK("https://portal.genego.com/cgi/entity_page.cgi?term=100&amp;id=-886421825","AMOTL2")</f>
        <v>AMOTL2</v>
      </c>
      <c r="D38" s="19" t="str">
        <f>HYPERLINK("https://portal.genego.com/cgi/entity_page.cgi?term=20&amp;id=-146383156","AMOTL2")</f>
        <v>AMOTL2</v>
      </c>
      <c r="E38" s="16">
        <v>-7.8644518546481301E-2</v>
      </c>
      <c r="F38" s="17">
        <v>0.60201660000000001</v>
      </c>
    </row>
    <row r="39" spans="1:6" ht="60" customHeight="1" x14ac:dyDescent="0.25">
      <c r="A39" s="27">
        <v>36</v>
      </c>
      <c r="B39" s="28" t="s">
        <v>73</v>
      </c>
      <c r="C39" s="19" t="str">
        <f>HYPERLINK("https://portal.genego.com/cgi/entity_page.cgi?term=100&amp;id=-686513816","AOX1")</f>
        <v>AOX1</v>
      </c>
      <c r="D39" s="19" t="str">
        <f>HYPERLINK("https://portal.genego.com/cgi/entity_page.cgi?term=20&amp;id=-420180906","AOX1")</f>
        <v>AOX1</v>
      </c>
      <c r="E39" s="7">
        <v>0.14352574166201201</v>
      </c>
      <c r="F39" s="17">
        <v>0.34627760000000002</v>
      </c>
    </row>
    <row r="40" spans="1:6" ht="60" customHeight="1" x14ac:dyDescent="0.25">
      <c r="A40" s="27">
        <v>37</v>
      </c>
      <c r="B40" s="28" t="s">
        <v>74</v>
      </c>
      <c r="C40" s="19" t="str">
        <f>HYPERLINK("https://portal.genego.com/cgi/entity_page.cgi?term=100&amp;id=4129","AP-2A")</f>
        <v>AP-2A</v>
      </c>
      <c r="D40" s="19" t="str">
        <f>HYPERLINK("https://portal.genego.com/cgi/entity_page.cgi?term=20&amp;id=2045859070","TFAP2A")</f>
        <v>TFAP2A</v>
      </c>
      <c r="E40" s="16">
        <v>-1.3379845224824299E-2</v>
      </c>
      <c r="F40" s="17">
        <v>0.94752420000000004</v>
      </c>
    </row>
    <row r="41" spans="1:6" ht="60" customHeight="1" x14ac:dyDescent="0.25">
      <c r="A41" s="27">
        <v>38</v>
      </c>
      <c r="B41" s="28" t="s">
        <v>75</v>
      </c>
      <c r="C41" s="19" t="str">
        <f>HYPERLINK("https://portal.genego.com/cgi/entity_page.cgi?term=100&amp;id=2439","APPL1")</f>
        <v>APPL1</v>
      </c>
      <c r="D41" s="19" t="str">
        <f>HYPERLINK("https://portal.genego.com/cgi/entity_page.cgi?term=20&amp;id=-1809172041","APPL1")</f>
        <v>APPL1</v>
      </c>
      <c r="E41" s="16">
        <v>-4.1872742955826298E-2</v>
      </c>
      <c r="F41" s="17">
        <v>0.82987630000000001</v>
      </c>
    </row>
    <row r="42" spans="1:6" ht="60" customHeight="1" x14ac:dyDescent="0.25">
      <c r="A42" s="27">
        <v>39</v>
      </c>
      <c r="B42" s="28" t="s">
        <v>76</v>
      </c>
      <c r="C42" s="19" t="str">
        <f>HYPERLINK("https://portal.genego.com/cgi/entity_page.cgi?term=100&amp;id=-642832836","APPL2")</f>
        <v>APPL2</v>
      </c>
      <c r="D42" s="19" t="str">
        <f>HYPERLINK("https://portal.genego.com/cgi/entity_page.cgi?term=20&amp;id=55198","APPL2")</f>
        <v>APPL2</v>
      </c>
      <c r="E42" s="15">
        <v>-0.11867372214845</v>
      </c>
      <c r="F42" s="17">
        <v>0.46563070000000001</v>
      </c>
    </row>
    <row r="43" spans="1:6" ht="60" customHeight="1" x14ac:dyDescent="0.25">
      <c r="A43" s="27">
        <v>40</v>
      </c>
      <c r="B43" s="28" t="s">
        <v>77</v>
      </c>
      <c r="C43" s="19" t="str">
        <f>HYPERLINK("https://portal.genego.com/cgi/entity_page.cgi?term=100&amp;id=2380","APS")</f>
        <v>APS</v>
      </c>
      <c r="D43" s="19" t="str">
        <f>HYPERLINK("https://portal.genego.com/cgi/entity_page.cgi?term=20&amp;id=1620397606","SH2B2")</f>
        <v>SH2B2</v>
      </c>
      <c r="E43" s="16">
        <v>-7.7591466642120605E-2</v>
      </c>
      <c r="F43" s="17">
        <v>0.53881820000000002</v>
      </c>
    </row>
    <row r="44" spans="1:6" ht="60" customHeight="1" x14ac:dyDescent="0.25">
      <c r="A44" s="27">
        <v>41</v>
      </c>
      <c r="B44" s="28" t="s">
        <v>78</v>
      </c>
      <c r="C44" s="19" t="str">
        <f>HYPERLINK("https://portal.genego.com/cgi/entity_page.cgi?term=100&amp;id=1060","ARHGEF1 (p115RhoGEF)")</f>
        <v>ARHGEF1 (p115RhoGEF)</v>
      </c>
      <c r="D44" s="19" t="str">
        <f>HYPERLINK("https://portal.genego.com/cgi/entity_page.cgi?term=20&amp;id=2128834929","ARHGEF1")</f>
        <v>ARHGEF1</v>
      </c>
      <c r="E44" s="15">
        <v>-0.101235263051649</v>
      </c>
      <c r="F44" s="17">
        <v>0.55105950000000004</v>
      </c>
    </row>
    <row r="45" spans="1:6" ht="60" customHeight="1" x14ac:dyDescent="0.25">
      <c r="A45" s="27">
        <v>42</v>
      </c>
      <c r="B45" s="28" t="s">
        <v>79</v>
      </c>
      <c r="C45" s="19" t="str">
        <f>HYPERLINK("https://portal.genego.com/cgi/entity_page.cgi?term=100&amp;id=892","ARHGEF2")</f>
        <v>ARHGEF2</v>
      </c>
      <c r="D45" s="19" t="str">
        <f>HYPERLINK("https://portal.genego.com/cgi/entity_page.cgi?term=20&amp;id=-1348721356","ARHGEF2")</f>
        <v>ARHGEF2</v>
      </c>
      <c r="E45" s="7">
        <v>0.16934453014555301</v>
      </c>
      <c r="F45" s="17">
        <v>0.253635</v>
      </c>
    </row>
    <row r="46" spans="1:6" ht="60" customHeight="1" x14ac:dyDescent="0.25">
      <c r="A46" s="27">
        <v>43</v>
      </c>
      <c r="B46" s="28" t="s">
        <v>80</v>
      </c>
      <c r="C46" s="19" t="str">
        <f>HYPERLINK("https://portal.genego.com/cgi/entity_page.cgi?term=100&amp;id=-2095166900","ASK (Dbf4)")</f>
        <v>ASK (Dbf4)</v>
      </c>
      <c r="D46" s="19" t="str">
        <f>HYPERLINK("https://portal.genego.com/cgi/entity_page.cgi?term=20&amp;id=1632653057","DBF4")</f>
        <v>DBF4</v>
      </c>
      <c r="E46" s="14">
        <v>-0.32014250101235497</v>
      </c>
      <c r="F46" s="17">
        <v>0.10707179999999999</v>
      </c>
    </row>
    <row r="47" spans="1:6" ht="60" customHeight="1" x14ac:dyDescent="0.25">
      <c r="A47" s="27">
        <v>44</v>
      </c>
      <c r="B47" s="28" t="s">
        <v>81</v>
      </c>
      <c r="C47" s="19" t="str">
        <f>HYPERLINK("https://portal.genego.com/cgi/entity_page.cgi?term=100&amp;id=-137693742","ASPP1")</f>
        <v>ASPP1</v>
      </c>
      <c r="D47" s="19" t="str">
        <f>HYPERLINK("https://portal.genego.com/cgi/entity_page.cgi?term=20&amp;id=1459793847","PPP1R13B")</f>
        <v>PPP1R13B</v>
      </c>
      <c r="E47" s="8">
        <v>8.0658647424940194E-2</v>
      </c>
      <c r="F47" s="17">
        <v>0.66000139999999996</v>
      </c>
    </row>
    <row r="48" spans="1:6" ht="60" customHeight="1" x14ac:dyDescent="0.25">
      <c r="A48" s="27">
        <v>45</v>
      </c>
      <c r="B48" s="28" t="s">
        <v>82</v>
      </c>
      <c r="C48" s="19" t="str">
        <f>HYPERLINK("https://portal.genego.com/cgi/entity_page.cgi?term=100&amp;id=-918750815","ASPP2")</f>
        <v>ASPP2</v>
      </c>
      <c r="D48" s="19" t="str">
        <f>HYPERLINK("https://portal.genego.com/cgi/entity_page.cgi?term=20&amp;id=-1445278794","TP53BP2")</f>
        <v>TP53BP2</v>
      </c>
      <c r="E48" s="8">
        <v>3.9927155260689802E-2</v>
      </c>
      <c r="F48" s="17">
        <v>0.82564630000000006</v>
      </c>
    </row>
    <row r="49" spans="1:6" ht="60" customHeight="1" x14ac:dyDescent="0.25">
      <c r="A49" s="27">
        <v>46</v>
      </c>
      <c r="B49" s="28" t="s">
        <v>83</v>
      </c>
      <c r="C49" s="19" t="str">
        <f>HYPERLINK("https://portal.genego.com/cgi/entity_page.cgi?term=100&amp;id=161","ATF-2")</f>
        <v>ATF-2</v>
      </c>
      <c r="D49" s="19" t="str">
        <f>HYPERLINK("https://portal.genego.com/cgi/entity_page.cgi?term=20&amp;id=404544737","ATF2")</f>
        <v>ATF2</v>
      </c>
      <c r="E49" s="8">
        <v>2.8803258869672201E-2</v>
      </c>
      <c r="F49" s="17">
        <v>0.88942370000000004</v>
      </c>
    </row>
    <row r="50" spans="1:6" ht="60" customHeight="1" x14ac:dyDescent="0.25">
      <c r="A50" s="27">
        <v>47</v>
      </c>
      <c r="B50" s="28" t="s">
        <v>84</v>
      </c>
      <c r="C50" s="19" t="str">
        <f>HYPERLINK("https://portal.genego.com/cgi/entity_page.cgi?term=100&amp;id=4394","ATF-3")</f>
        <v>ATF-3</v>
      </c>
      <c r="D50" s="19" t="str">
        <f>HYPERLINK("https://portal.genego.com/cgi/entity_page.cgi?term=20&amp;id=311078425","ATF3")</f>
        <v>ATF3</v>
      </c>
      <c r="E50" s="3">
        <v>1.1389242676467599</v>
      </c>
      <c r="F50" s="17">
        <v>1.047105E-4</v>
      </c>
    </row>
    <row r="51" spans="1:6" ht="60" customHeight="1" x14ac:dyDescent="0.25">
      <c r="A51" s="27">
        <v>48</v>
      </c>
      <c r="B51" s="28" t="s">
        <v>85</v>
      </c>
      <c r="C51" s="19" t="str">
        <f>HYPERLINK("https://portal.genego.com/cgi/entity_page.cgi?term=100&amp;id=-768284125","ATF-4")</f>
        <v>ATF-4</v>
      </c>
      <c r="D51" s="19" t="str">
        <f>HYPERLINK("https://portal.genego.com/cgi/entity_page.cgi?term=20&amp;id=-72135157","ATF4")</f>
        <v>ATF4</v>
      </c>
      <c r="E51" s="15">
        <v>-0.21475664809404599</v>
      </c>
      <c r="F51" s="17">
        <v>0.21310970000000001</v>
      </c>
    </row>
    <row r="52" spans="1:6" ht="60" customHeight="1" x14ac:dyDescent="0.25">
      <c r="A52" s="27">
        <v>49</v>
      </c>
      <c r="B52" s="28" t="s">
        <v>86</v>
      </c>
      <c r="C52" s="19" t="str">
        <f>HYPERLINK("https://portal.genego.com/cgi/entity_page.cgi?term=100&amp;id=-39738966","ATG13")</f>
        <v>ATG13</v>
      </c>
      <c r="D52" s="19" t="str">
        <f>HYPERLINK("https://portal.genego.com/cgi/entity_page.cgi?term=20&amp;id=9776","ATG13")</f>
        <v>ATG13</v>
      </c>
      <c r="E52" s="16">
        <v>-1.2264290224851201E-2</v>
      </c>
      <c r="F52" s="17">
        <v>0.94940000000000002</v>
      </c>
    </row>
    <row r="53" spans="1:6" ht="60" customHeight="1" x14ac:dyDescent="0.25">
      <c r="A53" s="27">
        <v>50</v>
      </c>
      <c r="B53" s="28" t="s">
        <v>87</v>
      </c>
      <c r="C53" s="19" t="str">
        <f>HYPERLINK("https://portal.genego.com/cgi/entity_page.cgi?term=100&amp;id=52","ATM")</f>
        <v>ATM</v>
      </c>
      <c r="D53" s="19" t="str">
        <f>HYPERLINK("https://portal.genego.com/cgi/entity_page.cgi?term=20&amp;id=445126798","ATM")</f>
        <v>ATM</v>
      </c>
      <c r="E53" s="7">
        <v>0.19670203652996501</v>
      </c>
      <c r="F53" s="17">
        <v>0.29414630000000003</v>
      </c>
    </row>
    <row r="54" spans="1:6" ht="60" customHeight="1" x14ac:dyDescent="0.25">
      <c r="A54" s="27">
        <v>51</v>
      </c>
      <c r="B54" s="28" t="s">
        <v>88</v>
      </c>
      <c r="C54" s="19" t="str">
        <f>HYPERLINK("https://portal.genego.com/cgi/entity_page.cgi?term=100&amp;id=66","ATOX1")</f>
        <v>ATOX1</v>
      </c>
      <c r="D54" s="19" t="str">
        <f>HYPERLINK("https://portal.genego.com/cgi/entity_page.cgi?term=20&amp;id=-2036572211","ATOX1")</f>
        <v>ATOX1</v>
      </c>
      <c r="E54" s="16">
        <v>-7.4581102008629101E-3</v>
      </c>
      <c r="F54" s="17">
        <v>0.97020430000000002</v>
      </c>
    </row>
    <row r="55" spans="1:6" ht="60" customHeight="1" x14ac:dyDescent="0.25">
      <c r="A55" s="27">
        <v>52</v>
      </c>
      <c r="B55" s="28" t="s">
        <v>89</v>
      </c>
      <c r="C55" s="19" t="str">
        <f>HYPERLINK("https://portal.genego.com/cgi/entity_page.cgi?term=100&amp;id=-1565555090","ATP7A")</f>
        <v>ATP7A</v>
      </c>
      <c r="D55" s="19" t="str">
        <f>HYPERLINK("https://portal.genego.com/cgi/entity_page.cgi?term=20&amp;id=-1688811658","ATP7A")</f>
        <v>ATP7A</v>
      </c>
      <c r="E55" s="8">
        <v>8.3620320692839895E-2</v>
      </c>
      <c r="F55" s="17">
        <v>0.64117820000000003</v>
      </c>
    </row>
    <row r="56" spans="1:6" ht="60" customHeight="1" x14ac:dyDescent="0.25">
      <c r="A56" s="27">
        <v>53</v>
      </c>
      <c r="B56" s="28" t="s">
        <v>90</v>
      </c>
      <c r="C56" s="19" t="str">
        <f>HYPERLINK("https://portal.genego.com/cgi/entity_page.cgi?term=100&amp;id=1110","ATR")</f>
        <v>ATR</v>
      </c>
      <c r="D56" s="19" t="str">
        <f>HYPERLINK("https://portal.genego.com/cgi/entity_page.cgi?term=20&amp;id=-1737949357","ATR")</f>
        <v>ATR</v>
      </c>
      <c r="E56" s="6">
        <v>0.53668285818896699</v>
      </c>
      <c r="F56" s="17">
        <v>1.5828910000000002E-2</v>
      </c>
    </row>
    <row r="57" spans="1:6" ht="60" customHeight="1" x14ac:dyDescent="0.25">
      <c r="A57" s="27">
        <v>54</v>
      </c>
      <c r="B57" s="28" t="s">
        <v>91</v>
      </c>
      <c r="C57" s="19" t="str">
        <f>HYPERLINK("https://portal.genego.com/cgi/entity_page.cgi?term=100&amp;id=4049","ATRIP")</f>
        <v>ATRIP</v>
      </c>
      <c r="D57" s="19" t="str">
        <f>HYPERLINK("https://portal.genego.com/cgi/entity_page.cgi?term=20&amp;id=-428385874","ATRIP")</f>
        <v>ATRIP</v>
      </c>
      <c r="E57" s="14">
        <v>-0.31774973063432199</v>
      </c>
      <c r="F57" s="17">
        <v>0.130553</v>
      </c>
    </row>
    <row r="58" spans="1:6" ht="60" customHeight="1" x14ac:dyDescent="0.25">
      <c r="A58" s="27">
        <v>55</v>
      </c>
      <c r="B58" s="28" t="s">
        <v>92</v>
      </c>
      <c r="C58" s="19" t="str">
        <f>HYPERLINK("https://portal.genego.com/cgi/entity_page.cgi?term=100&amp;id=-485483699","Adenylate cyclase type IX")</f>
        <v>Adenylate cyclase type IX</v>
      </c>
      <c r="D58" s="19" t="str">
        <f>HYPERLINK("https://portal.genego.com/cgi/entity_page.cgi?term=20&amp;id=757560959","ADCY9")</f>
        <v>ADCY9</v>
      </c>
      <c r="E58" s="7">
        <v>0.14966951982642801</v>
      </c>
      <c r="F58" s="17">
        <v>0.4108771</v>
      </c>
    </row>
    <row r="59" spans="1:6" ht="60" customHeight="1" x14ac:dyDescent="0.25">
      <c r="A59" s="27">
        <v>56</v>
      </c>
      <c r="B59" s="28" t="s">
        <v>93</v>
      </c>
      <c r="C59" s="19" t="str">
        <f>HYPERLINK("https://portal.genego.com/cgi/entity_page.cgi?term=100&amp;id=-1078025935","AdipoR1")</f>
        <v>AdipoR1</v>
      </c>
      <c r="D59" s="19" t="str">
        <f>HYPERLINK("https://portal.genego.com/cgi/entity_page.cgi?term=20&amp;id=51094","ADIPOR1")</f>
        <v>ADIPOR1</v>
      </c>
      <c r="E59" s="7">
        <v>0.28566961181050599</v>
      </c>
      <c r="F59" s="17">
        <v>4.5534690000000003E-2</v>
      </c>
    </row>
    <row r="60" spans="1:6" ht="60" customHeight="1" x14ac:dyDescent="0.25">
      <c r="A60" s="27">
        <v>57</v>
      </c>
      <c r="B60" s="28" t="s">
        <v>94</v>
      </c>
      <c r="C60" s="19" t="str">
        <f>HYPERLINK("https://portal.genego.com/cgi/entity_page.cgi?term=100&amp;id=-932615271","AdipoR2")</f>
        <v>AdipoR2</v>
      </c>
      <c r="D60" s="19" t="str">
        <f>HYPERLINK("https://portal.genego.com/cgi/entity_page.cgi?term=20&amp;id=79602","ADIPOR2")</f>
        <v>ADIPOR2</v>
      </c>
      <c r="E60" s="8">
        <v>4.3310996504505199E-2</v>
      </c>
      <c r="F60" s="17">
        <v>0.81065889999999996</v>
      </c>
    </row>
    <row r="61" spans="1:6" ht="60" customHeight="1" x14ac:dyDescent="0.25">
      <c r="A61" s="27">
        <v>58</v>
      </c>
      <c r="B61" s="28" t="s">
        <v>95</v>
      </c>
      <c r="C61" s="19" t="str">
        <f>HYPERLINK("https://portal.genego.com/cgi/entity_page.cgi?term=100&amp;id=8000","Adiponectin")</f>
        <v>Adiponectin</v>
      </c>
      <c r="D61" s="19" t="str">
        <f>HYPERLINK("https://portal.genego.com/cgi/entity_page.cgi?term=20&amp;id=236823626","ADIPOQ")</f>
        <v>ADIPOQ</v>
      </c>
      <c r="E61" s="16">
        <v>-2.8542930311989101E-3</v>
      </c>
      <c r="F61" s="17">
        <v>1</v>
      </c>
    </row>
    <row r="62" spans="1:6" ht="60" customHeight="1" x14ac:dyDescent="0.25">
      <c r="A62" s="27">
        <v>59</v>
      </c>
      <c r="B62" s="28" t="s">
        <v>96</v>
      </c>
      <c r="C62" s="19" t="str">
        <f>HYPERLINK("https://portal.genego.com/cgi/entity_page.cgi?term=100&amp;id=2103","Aif")</f>
        <v>Aif</v>
      </c>
      <c r="D62" s="19" t="str">
        <f>HYPERLINK("https://portal.genego.com/cgi/entity_page.cgi?term=20&amp;id=-1615861039","AIFM1")</f>
        <v>AIFM1</v>
      </c>
      <c r="E62" s="16">
        <v>-1.6810077558206599E-2</v>
      </c>
      <c r="F62" s="17">
        <v>0.93838710000000003</v>
      </c>
    </row>
    <row r="63" spans="1:6" ht="60" customHeight="1" x14ac:dyDescent="0.25">
      <c r="A63" s="27">
        <v>60</v>
      </c>
      <c r="B63" s="28" t="s">
        <v>97</v>
      </c>
      <c r="C63" s="19" t="str">
        <f>HYPERLINK("https://portal.genego.com/cgi/entity_page.cgi?term=100&amp;id=-779540880","Aiolos")</f>
        <v>Aiolos</v>
      </c>
      <c r="D63" s="19" t="str">
        <f>HYPERLINK("https://portal.genego.com/cgi/entity_page.cgi?term=20&amp;id=-1163126976","IKZF3")</f>
        <v>IKZF3</v>
      </c>
      <c r="E63" s="8">
        <v>3.8533107630908899E-2</v>
      </c>
      <c r="F63" s="17">
        <v>0.78176369999999995</v>
      </c>
    </row>
    <row r="64" spans="1:6" ht="60" customHeight="1" x14ac:dyDescent="0.25">
      <c r="A64" s="27">
        <v>61</v>
      </c>
      <c r="B64" s="28" t="s">
        <v>98</v>
      </c>
      <c r="C64" s="19" t="str">
        <f>HYPERLINK("https://portal.genego.com/cgi/entity_page.cgi?term=100&amp;id=-548825436","Ajuba")</f>
        <v>Ajuba</v>
      </c>
      <c r="D64" s="19" t="str">
        <f>HYPERLINK("https://portal.genego.com/cgi/entity_page.cgi?term=20&amp;id=84962","AJUBA")</f>
        <v>AJUBA</v>
      </c>
      <c r="E64" s="15">
        <v>-0.198672094908417</v>
      </c>
      <c r="F64" s="17">
        <v>0.17172799999999999</v>
      </c>
    </row>
    <row r="65" spans="1:6" ht="60" customHeight="1" x14ac:dyDescent="0.25">
      <c r="A65" s="27">
        <v>62</v>
      </c>
      <c r="B65" s="28" t="s">
        <v>99</v>
      </c>
      <c r="C65" s="19" t="str">
        <f>HYPERLINK("https://portal.genego.com/cgi/entity_page.cgi?term=100&amp;id=-2126895690","Alpha-1 catenin")</f>
        <v>Alpha-1 catenin</v>
      </c>
      <c r="D65" s="19" t="str">
        <f>HYPERLINK("https://portal.genego.com/cgi/entity_page.cgi?term=20&amp;id=-806538744","CTNNA1")</f>
        <v>CTNNA1</v>
      </c>
      <c r="E65" s="8">
        <v>0.108817297042032</v>
      </c>
      <c r="F65" s="17">
        <v>0.43142920000000001</v>
      </c>
    </row>
    <row r="66" spans="1:6" ht="60" customHeight="1" x14ac:dyDescent="0.25">
      <c r="A66" s="27">
        <v>63</v>
      </c>
      <c r="B66" s="28" t="s">
        <v>100</v>
      </c>
      <c r="C66" s="19" t="str">
        <f>HYPERLINK("https://portal.genego.com/cgi/entity_page.cgi?term=100&amp;id=-1449655780","Angiomotin (AMOT)")</f>
        <v>Angiomotin (AMOT)</v>
      </c>
      <c r="D66" s="19" t="str">
        <f>HYPERLINK("https://portal.genego.com/cgi/entity_page.cgi?term=20&amp;id=-2134478541","AMOT")</f>
        <v>AMOT</v>
      </c>
      <c r="E66" s="16">
        <v>-1.7506009615074099E-2</v>
      </c>
      <c r="F66" s="17">
        <v>0.93285359999999995</v>
      </c>
    </row>
    <row r="67" spans="1:6" ht="60" customHeight="1" x14ac:dyDescent="0.25">
      <c r="A67" s="27">
        <v>64</v>
      </c>
      <c r="B67" s="28" t="s">
        <v>101</v>
      </c>
      <c r="C67" s="19" t="str">
        <f>HYPERLINK("https://portal.genego.com/cgi/entity_page.cgi?term=100&amp;id=2466","Angiotensin II")</f>
        <v>Angiotensin II</v>
      </c>
      <c r="D67" s="19" t="str">
        <f>HYPERLINK("https://portal.genego.com/cgi/entity_page.cgi?term=20&amp;id=-1545499865","AGT")</f>
        <v>AGT</v>
      </c>
      <c r="E67" s="16">
        <v>-2.6268248791482701E-3</v>
      </c>
      <c r="F67" s="17">
        <v>1</v>
      </c>
    </row>
    <row r="68" spans="1:6" ht="60" customHeight="1" x14ac:dyDescent="0.25">
      <c r="A68" s="27">
        <v>65</v>
      </c>
      <c r="B68" s="28" t="s">
        <v>101</v>
      </c>
      <c r="C68" s="19" t="str">
        <f>HYPERLINK("https://portal.genego.com/cgi/entity_page.cgi?term=100&amp;id=2306","Angiotensinogen")</f>
        <v>Angiotensinogen</v>
      </c>
      <c r="D68" s="19" t="str">
        <f>HYPERLINK("https://portal.genego.com/cgi/entity_page.cgi?term=20&amp;id=-1545499865","AGT")</f>
        <v>AGT</v>
      </c>
      <c r="E68" s="16">
        <v>-2.6268248791482701E-3</v>
      </c>
      <c r="F68" s="17">
        <v>1</v>
      </c>
    </row>
    <row r="69" spans="1:6" ht="60" customHeight="1" x14ac:dyDescent="0.25">
      <c r="A69" s="27">
        <v>66</v>
      </c>
      <c r="B69" s="28" t="s">
        <v>102</v>
      </c>
      <c r="C69" s="19" t="str">
        <f>HYPERLINK("https://portal.genego.com/cgi/entity_page.cgi?term=100&amp;id=60","Apaf-1")</f>
        <v>Apaf-1</v>
      </c>
      <c r="D69" s="19" t="str">
        <f>HYPERLINK("https://portal.genego.com/cgi/entity_page.cgi?term=20&amp;id=238113431","APAF1")</f>
        <v>APAF1</v>
      </c>
      <c r="E69" s="7">
        <v>0.11949588230022901</v>
      </c>
      <c r="F69" s="17">
        <v>0.51197910000000002</v>
      </c>
    </row>
    <row r="70" spans="1:6" ht="60" customHeight="1" x14ac:dyDescent="0.25">
      <c r="A70" s="27">
        <v>67</v>
      </c>
      <c r="B70" s="28" t="s">
        <v>103</v>
      </c>
      <c r="C70" s="19" t="str">
        <f>HYPERLINK("https://portal.genego.com/cgi/entity_page.cgi?term=100&amp;id=771","Apo-2L(TNFSF10)")</f>
        <v>Apo-2L(TNFSF10)</v>
      </c>
      <c r="D70" s="19" t="str">
        <f>HYPERLINK("https://portal.genego.com/cgi/entity_page.cgi?term=20&amp;id=-62600398","TNFSF10")</f>
        <v>TNFSF10</v>
      </c>
      <c r="E70" s="8">
        <v>9.6272554756209605E-3</v>
      </c>
      <c r="F70" s="17">
        <v>1</v>
      </c>
    </row>
    <row r="71" spans="1:6" ht="60" customHeight="1" x14ac:dyDescent="0.25">
      <c r="A71" s="27">
        <v>68</v>
      </c>
      <c r="B71" s="28" t="s">
        <v>104</v>
      </c>
      <c r="C71" s="19" t="str">
        <f>HYPERLINK("https://portal.genego.com/cgi/entity_page.cgi?term=100&amp;id=-2076917160","Aurora-A")</f>
        <v>Aurora-A</v>
      </c>
      <c r="D71" s="19" t="str">
        <f>HYPERLINK("https://portal.genego.com/cgi/entity_page.cgi?term=20&amp;id=806032338","AURKA")</f>
        <v>AURKA</v>
      </c>
      <c r="E71" s="16">
        <v>-8.9770022415008699E-2</v>
      </c>
      <c r="F71" s="17">
        <v>0.59324569999999999</v>
      </c>
    </row>
    <row r="72" spans="1:6" ht="60" customHeight="1" x14ac:dyDescent="0.25">
      <c r="A72" s="27">
        <v>69</v>
      </c>
      <c r="B72" s="28" t="s">
        <v>105</v>
      </c>
      <c r="C72" s="19" t="str">
        <f>HYPERLINK("https://portal.genego.com/cgi/entity_page.cgi?term=100&amp;id=-624614447","Aurora-B")</f>
        <v>Aurora-B</v>
      </c>
      <c r="D72" s="19" t="str">
        <f>HYPERLINK("https://portal.genego.com/cgi/entity_page.cgi?term=20&amp;id=-1741993530","AURKB")</f>
        <v>AURKB</v>
      </c>
      <c r="E72" s="11">
        <v>-0.95413068131313095</v>
      </c>
      <c r="F72" s="17">
        <v>2.9715700000000001E-5</v>
      </c>
    </row>
    <row r="73" spans="1:6" ht="60" customHeight="1" x14ac:dyDescent="0.25">
      <c r="A73" s="27">
        <v>70</v>
      </c>
      <c r="B73" s="28" t="s">
        <v>106</v>
      </c>
      <c r="C73" s="19" t="str">
        <f>HYPERLINK("https://portal.genego.com/cgi/entity_page.cgi?term=100&amp;id=-1135406019","Aurora-C")</f>
        <v>Aurora-C</v>
      </c>
      <c r="D73" s="19" t="str">
        <f>HYPERLINK("https://portal.genego.com/cgi/entity_page.cgi?term=20&amp;id=477660734","AURKC")</f>
        <v>AURKC</v>
      </c>
      <c r="E73" s="16">
        <v>-1.15934328198554E-2</v>
      </c>
      <c r="F73" s="17">
        <v>1</v>
      </c>
    </row>
    <row r="74" spans="1:6" ht="60" customHeight="1" x14ac:dyDescent="0.25">
      <c r="A74" s="27">
        <v>71</v>
      </c>
      <c r="B74" s="28" t="s">
        <v>107</v>
      </c>
      <c r="C74" s="19" t="str">
        <f>HYPERLINK("https://portal.genego.com/cgi/entity_page.cgi?term=100&amp;id=-974802953","Axin2")</f>
        <v>Axin2</v>
      </c>
      <c r="D74" s="19" t="str">
        <f>HYPERLINK("https://portal.genego.com/cgi/entity_page.cgi?term=20&amp;id=1693160956","AXIN2")</f>
        <v>AXIN2</v>
      </c>
      <c r="E74" s="14">
        <v>-0.41176576712768098</v>
      </c>
      <c r="F74" s="17">
        <v>0.1091464</v>
      </c>
    </row>
    <row r="75" spans="1:6" ht="60" customHeight="1" x14ac:dyDescent="0.25">
      <c r="A75" s="27">
        <v>72</v>
      </c>
      <c r="B75" s="28" t="s">
        <v>108</v>
      </c>
      <c r="C75" s="19" t="str">
        <f>HYPERLINK("https://portal.genego.com/cgi/entity_page.cgi?term=100&amp;id=68","B-Raf")</f>
        <v>B-Raf</v>
      </c>
      <c r="D75" s="19" t="str">
        <f>HYPERLINK("https://portal.genego.com/cgi/entity_page.cgi?term=20&amp;id=1525461648","BRAF")</f>
        <v>BRAF</v>
      </c>
      <c r="E75" s="7">
        <v>0.130951864118246</v>
      </c>
      <c r="F75" s="17">
        <v>0.45091360000000003</v>
      </c>
    </row>
    <row r="76" spans="1:6" ht="60" customHeight="1" x14ac:dyDescent="0.25">
      <c r="A76" s="27">
        <v>73</v>
      </c>
      <c r="B76" s="28" t="s">
        <v>109</v>
      </c>
      <c r="C76" s="19" t="str">
        <f>HYPERLINK("https://portal.genego.com/cgi/entity_page.cgi?term=100&amp;id=-636538994","B56G")</f>
        <v>B56G</v>
      </c>
      <c r="D76" s="19" t="str">
        <f>HYPERLINK("https://portal.genego.com/cgi/entity_page.cgi?term=20&amp;id=-1239118436","PPP2R5C")</f>
        <v>PPP2R5C</v>
      </c>
      <c r="E76" s="8">
        <v>8.5062192998326992E-3</v>
      </c>
      <c r="F76" s="17">
        <v>0.96653129999999998</v>
      </c>
    </row>
    <row r="77" spans="1:6" ht="60" customHeight="1" x14ac:dyDescent="0.25">
      <c r="A77" s="27">
        <v>74</v>
      </c>
      <c r="B77" s="28" t="s">
        <v>110</v>
      </c>
      <c r="C77" s="19" t="str">
        <f>HYPERLINK("https://portal.genego.com/cgi/entity_page.cgi?term=100&amp;id=-1712717656","BACE1")</f>
        <v>BACE1</v>
      </c>
      <c r="D77" s="19" t="str">
        <f>HYPERLINK("https://portal.genego.com/cgi/entity_page.cgi?term=20&amp;id=-318533588","BACE1")</f>
        <v>BACE1</v>
      </c>
      <c r="E77" s="8">
        <v>4.4098869433782197E-2</v>
      </c>
      <c r="F77" s="17">
        <v>0.80918489999999998</v>
      </c>
    </row>
    <row r="78" spans="1:6" ht="60" customHeight="1" x14ac:dyDescent="0.25">
      <c r="A78" s="27">
        <v>75</v>
      </c>
      <c r="B78" s="28" t="s">
        <v>111</v>
      </c>
      <c r="C78" s="19" t="str">
        <f>HYPERLINK("https://portal.genego.com/cgi/entity_page.cgi?term=100&amp;id=-137539001","BACH1")</f>
        <v>BACH1</v>
      </c>
      <c r="D78" s="19" t="str">
        <f>HYPERLINK("https://portal.genego.com/cgi/entity_page.cgi?term=20&amp;id=996599662","BACH1")</f>
        <v>BACH1</v>
      </c>
      <c r="E78" s="8">
        <v>1.7321834072751299E-2</v>
      </c>
      <c r="F78" s="17">
        <v>0.93633719999999998</v>
      </c>
    </row>
    <row r="79" spans="1:6" ht="60" customHeight="1" x14ac:dyDescent="0.25">
      <c r="A79" s="27">
        <v>76</v>
      </c>
      <c r="B79" s="28" t="s">
        <v>112</v>
      </c>
      <c r="C79" s="19" t="str">
        <f>HYPERLINK("https://portal.genego.com/cgi/entity_page.cgi?term=100&amp;id=71","BAD")</f>
        <v>BAD</v>
      </c>
      <c r="D79" s="19" t="str">
        <f>HYPERLINK("https://portal.genego.com/cgi/entity_page.cgi?term=20&amp;id=-213552854","BAD")</f>
        <v>BAD</v>
      </c>
      <c r="E79" s="15">
        <v>-0.248218451080394</v>
      </c>
      <c r="F79" s="17">
        <v>0.2051789</v>
      </c>
    </row>
    <row r="80" spans="1:6" ht="60" customHeight="1" x14ac:dyDescent="0.25">
      <c r="A80" s="27">
        <v>77</v>
      </c>
      <c r="B80" s="28" t="s">
        <v>113</v>
      </c>
      <c r="C80" s="19" t="str">
        <f>HYPERLINK("https://portal.genego.com/cgi/entity_page.cgi?term=100&amp;id=73","BDNF")</f>
        <v>BDNF</v>
      </c>
      <c r="D80" s="19" t="str">
        <f>HYPERLINK("https://portal.genego.com/cgi/entity_page.cgi?term=20&amp;id=1767460613","BDNF")</f>
        <v>BDNF</v>
      </c>
      <c r="E80" s="6">
        <v>0.46835696023402001</v>
      </c>
      <c r="F80" s="17">
        <v>2.0919609999999998E-3</v>
      </c>
    </row>
    <row r="81" spans="1:6" ht="60" customHeight="1" x14ac:dyDescent="0.25">
      <c r="A81" s="27">
        <v>78</v>
      </c>
      <c r="B81" s="28" t="s">
        <v>114</v>
      </c>
      <c r="C81" s="19" t="str">
        <f>HYPERLINK("https://portal.genego.com/cgi/entity_page.cgi?term=100&amp;id=-1698772377","BFL1")</f>
        <v>BFL1</v>
      </c>
      <c r="D81" s="19" t="str">
        <f>HYPERLINK("https://portal.genego.com/cgi/entity_page.cgi?term=20&amp;id=-1820596120","BCL2A1")</f>
        <v>BCL2A1</v>
      </c>
      <c r="E81" s="8">
        <v>5.4720512446312904E-3</v>
      </c>
      <c r="F81" s="17">
        <v>1</v>
      </c>
    </row>
    <row r="82" spans="1:6" ht="60" customHeight="1" x14ac:dyDescent="0.25">
      <c r="A82" s="27">
        <v>79</v>
      </c>
      <c r="B82" s="28" t="s">
        <v>115</v>
      </c>
      <c r="C82" s="19" t="str">
        <f>HYPERLINK("https://portal.genego.com/cgi/entity_page.cgi?term=100&amp;id=6102","BMP2")</f>
        <v>BMP2</v>
      </c>
      <c r="D82" s="19" t="str">
        <f>HYPERLINK("https://portal.genego.com/cgi/entity_page.cgi?term=20&amp;id=-2135116710","BMP2")</f>
        <v>BMP2</v>
      </c>
      <c r="E82" s="3">
        <v>1.07187814232681</v>
      </c>
      <c r="F82" s="17">
        <v>2.6363530000000001E-5</v>
      </c>
    </row>
    <row r="83" spans="1:6" ht="60" customHeight="1" x14ac:dyDescent="0.25">
      <c r="A83" s="27">
        <v>80</v>
      </c>
      <c r="B83" s="28" t="s">
        <v>116</v>
      </c>
      <c r="C83" s="19" t="str">
        <f>HYPERLINK("https://portal.genego.com/cgi/entity_page.cgi?term=100&amp;id=-1076806085","BOC")</f>
        <v>BOC</v>
      </c>
      <c r="D83" s="19" t="str">
        <f>HYPERLINK("https://portal.genego.com/cgi/entity_page.cgi?term=20&amp;id=91653","BOC")</f>
        <v>BOC</v>
      </c>
      <c r="E83" s="14">
        <v>-0.30923838161704598</v>
      </c>
      <c r="F83" s="17">
        <v>7.2458709999999996E-2</v>
      </c>
    </row>
    <row r="84" spans="1:6" ht="60" customHeight="1" x14ac:dyDescent="0.25">
      <c r="A84" s="27">
        <v>81</v>
      </c>
      <c r="B84" s="28" t="s">
        <v>117</v>
      </c>
      <c r="C84" s="19" t="str">
        <f>HYPERLINK("https://portal.genego.com/cgi/entity_page.cgi?term=100&amp;id=-422075177","BORA")</f>
        <v>BORA</v>
      </c>
      <c r="D84" s="19" t="str">
        <f>HYPERLINK("https://portal.genego.com/cgi/entity_page.cgi?term=20&amp;id=79866","BORA")</f>
        <v>BORA</v>
      </c>
      <c r="E84" s="16">
        <v>-2.8431191359228301E-2</v>
      </c>
      <c r="F84" s="17">
        <v>0.88999240000000002</v>
      </c>
    </row>
    <row r="85" spans="1:6" ht="60" customHeight="1" x14ac:dyDescent="0.25">
      <c r="A85" s="27">
        <v>82</v>
      </c>
      <c r="B85" s="28" t="s">
        <v>118</v>
      </c>
      <c r="C85" s="19" t="str">
        <f>HYPERLINK("https://portal.genego.com/cgi/entity_page.cgi?term=100&amp;id=-442358087","BRRN1")</f>
        <v>BRRN1</v>
      </c>
      <c r="D85" s="19" t="str">
        <f>HYPERLINK("https://portal.genego.com/cgi/entity_page.cgi?term=20&amp;id=-1936872491","NCAPH")</f>
        <v>NCAPH</v>
      </c>
      <c r="E85" s="12">
        <v>-0.70889833503725297</v>
      </c>
      <c r="F85" s="17">
        <v>2.5286109999999998E-4</v>
      </c>
    </row>
    <row r="86" spans="1:6" ht="60" customHeight="1" x14ac:dyDescent="0.25">
      <c r="A86" s="27">
        <v>83</v>
      </c>
      <c r="B86" s="28" t="s">
        <v>119</v>
      </c>
      <c r="C86" s="19" t="str">
        <f>HYPERLINK("https://portal.genego.com/cgi/entity_page.cgi?term=100&amp;id=-995440846","BST1")</f>
        <v>BST1</v>
      </c>
      <c r="D86" s="19" t="str">
        <f>HYPERLINK("https://portal.genego.com/cgi/entity_page.cgi?term=20&amp;id=-1565022841","BST1")</f>
        <v>BST1</v>
      </c>
      <c r="E86" s="8">
        <v>2.1691435319175299E-2</v>
      </c>
      <c r="F86" s="17">
        <v>1</v>
      </c>
    </row>
    <row r="87" spans="1:6" ht="60" customHeight="1" x14ac:dyDescent="0.25">
      <c r="A87" s="27">
        <v>84</v>
      </c>
      <c r="B87" s="28" t="s">
        <v>120</v>
      </c>
      <c r="C87" s="19" t="str">
        <f>HYPERLINK("https://portal.genego.com/cgi/entity_page.cgi?term=100&amp;id=-1501760143","BTG2")</f>
        <v>BTG2</v>
      </c>
      <c r="D87" s="19" t="str">
        <f>HYPERLINK("https://portal.genego.com/cgi/entity_page.cgi?term=20&amp;id=498065965","BTG2")</f>
        <v>BTG2</v>
      </c>
      <c r="E87" s="7">
        <v>0.181472120049924</v>
      </c>
      <c r="F87" s="17">
        <v>0.25669439999999999</v>
      </c>
    </row>
    <row r="88" spans="1:6" ht="60" customHeight="1" x14ac:dyDescent="0.25">
      <c r="A88" s="27">
        <v>85</v>
      </c>
      <c r="B88" s="28" t="s">
        <v>121</v>
      </c>
      <c r="C88" s="19" t="str">
        <f>HYPERLINK("https://portal.genego.com/cgi/entity_page.cgi?term=100&amp;id=-1514615890","BUB1")</f>
        <v>BUB1</v>
      </c>
      <c r="D88" s="19" t="str">
        <f>HYPERLINK("https://portal.genego.com/cgi/entity_page.cgi?term=20&amp;id=491107732","BUB1")</f>
        <v>BUB1</v>
      </c>
      <c r="E88" s="14">
        <v>-0.44014030905553297</v>
      </c>
      <c r="F88" s="17">
        <v>1.304259E-2</v>
      </c>
    </row>
    <row r="89" spans="1:6" ht="60" customHeight="1" x14ac:dyDescent="0.25">
      <c r="A89" s="27">
        <v>86</v>
      </c>
      <c r="B89" s="28" t="s">
        <v>122</v>
      </c>
      <c r="C89" s="19" t="str">
        <f>HYPERLINK("https://portal.genego.com/cgi/entity_page.cgi?term=100&amp;id=-901587225","BUB3")</f>
        <v>BUB3</v>
      </c>
      <c r="D89" s="19" t="str">
        <f>HYPERLINK("https://portal.genego.com/cgi/entity_page.cgi?term=20&amp;id=-44710088","BUB3")</f>
        <v>BUB3</v>
      </c>
      <c r="E89" s="8">
        <v>2.5837524741559401E-2</v>
      </c>
      <c r="F89" s="17">
        <v>0.89059370000000004</v>
      </c>
    </row>
    <row r="90" spans="1:6" ht="60" customHeight="1" x14ac:dyDescent="0.25">
      <c r="A90" s="27">
        <v>87</v>
      </c>
      <c r="B90" s="28" t="s">
        <v>123</v>
      </c>
      <c r="C90" s="19" t="str">
        <f>HYPERLINK("https://portal.genego.com/cgi/entity_page.cgi?term=100&amp;id=-1727344904","BUBR1")</f>
        <v>BUBR1</v>
      </c>
      <c r="D90" s="19" t="str">
        <f>HYPERLINK("https://portal.genego.com/cgi/entity_page.cgi?term=20&amp;id=-1763244526","BUB1B")</f>
        <v>BUB1B</v>
      </c>
      <c r="E90" s="14">
        <v>-0.32102080071398598</v>
      </c>
      <c r="F90" s="17">
        <v>4.8399150000000002E-2</v>
      </c>
    </row>
    <row r="91" spans="1:6" ht="60" customHeight="1" x14ac:dyDescent="0.25">
      <c r="A91" s="27">
        <v>88</v>
      </c>
      <c r="B91" s="28" t="s">
        <v>124</v>
      </c>
      <c r="C91" s="19" t="str">
        <f>HYPERLINK("https://portal.genego.com/cgi/entity_page.cgi?term=100&amp;id=72","Bard1")</f>
        <v>Bard1</v>
      </c>
      <c r="D91" s="19" t="str">
        <f>HYPERLINK("https://portal.genego.com/cgi/entity_page.cgi?term=20&amp;id=-550800737","BARD1")</f>
        <v>BARD1</v>
      </c>
      <c r="E91" s="8">
        <v>8.5339766144014298E-2</v>
      </c>
      <c r="F91" s="17">
        <v>0.60085650000000002</v>
      </c>
    </row>
    <row r="92" spans="1:6" ht="60" customHeight="1" x14ac:dyDescent="0.25">
      <c r="A92" s="27">
        <v>89</v>
      </c>
      <c r="B92" s="28" t="s">
        <v>125</v>
      </c>
      <c r="C92" s="19" t="str">
        <f>HYPERLINK("https://portal.genego.com/cgi/entity_page.cgi?term=100&amp;id=85","Bax")</f>
        <v>Bax</v>
      </c>
      <c r="D92" s="19" t="str">
        <f>HYPERLINK("https://portal.genego.com/cgi/entity_page.cgi?term=20&amp;id=628643073","BAX")</f>
        <v>BAX</v>
      </c>
      <c r="E92" s="14">
        <v>-0.42245085930807802</v>
      </c>
      <c r="F92" s="17">
        <v>1.994493E-2</v>
      </c>
    </row>
    <row r="93" spans="1:6" ht="60" customHeight="1" x14ac:dyDescent="0.25">
      <c r="A93" s="27">
        <v>90</v>
      </c>
      <c r="B93" s="28" t="s">
        <v>126</v>
      </c>
      <c r="C93" s="19" t="str">
        <f>HYPERLINK("https://portal.genego.com/cgi/entity_page.cgi?term=100&amp;id=86","Bcl-2")</f>
        <v>Bcl-2</v>
      </c>
      <c r="D93" s="19" t="str">
        <f>HYPERLINK("https://portal.genego.com/cgi/entity_page.cgi?term=20&amp;id=-894111171","BCL2")</f>
        <v>BCL2</v>
      </c>
      <c r="E93" s="8">
        <v>7.4835960303538899E-3</v>
      </c>
      <c r="F93" s="17">
        <v>0.96764150000000004</v>
      </c>
    </row>
    <row r="94" spans="1:6" ht="60" customHeight="1" x14ac:dyDescent="0.25">
      <c r="A94" s="27">
        <v>91</v>
      </c>
      <c r="B94" s="28" t="s">
        <v>127</v>
      </c>
      <c r="C94" s="19" t="str">
        <f>HYPERLINK("https://portal.genego.com/cgi/entity_page.cgi?term=100&amp;id=87","Bcl-XL")</f>
        <v>Bcl-XL</v>
      </c>
      <c r="D94" s="19" t="str">
        <f>HYPERLINK("https://portal.genego.com/cgi/entity_page.cgi?term=20&amp;id=834712735","BCL2L1")</f>
        <v>BCL2L1</v>
      </c>
      <c r="E94" s="8">
        <v>2.7802621573429599E-2</v>
      </c>
      <c r="F94" s="17">
        <v>0.87791010000000003</v>
      </c>
    </row>
    <row r="95" spans="1:6" ht="60" customHeight="1" x14ac:dyDescent="0.25">
      <c r="A95" s="27">
        <v>92</v>
      </c>
      <c r="B95" s="28" t="s">
        <v>128</v>
      </c>
      <c r="C95" s="19" t="str">
        <f>HYPERLINK("https://portal.genego.com/cgi/entity_page.cgi?term=100&amp;id=-975327052","Beclin 1")</f>
        <v>Beclin 1</v>
      </c>
      <c r="D95" s="19" t="str">
        <f>HYPERLINK("https://portal.genego.com/cgi/entity_page.cgi?term=20&amp;id=-1059812383","BECN1")</f>
        <v>BECN1</v>
      </c>
      <c r="E95" s="8">
        <v>9.5539187100876194E-2</v>
      </c>
      <c r="F95" s="17">
        <v>0.56185370000000001</v>
      </c>
    </row>
    <row r="96" spans="1:6" ht="60" customHeight="1" x14ac:dyDescent="0.25">
      <c r="A96" s="27">
        <v>93</v>
      </c>
      <c r="B96" s="28" t="s">
        <v>129</v>
      </c>
      <c r="C96" s="19" t="str">
        <f>HYPERLINK("https://portal.genego.com/cgi/entity_page.cgi?term=100&amp;id=878","Beta-2 adrenergic receptor")</f>
        <v>Beta-2 adrenergic receptor</v>
      </c>
      <c r="D96" s="19" t="str">
        <f>HYPERLINK("https://portal.genego.com/cgi/entity_page.cgi?term=20&amp;id=169321543","ADRB2")</f>
        <v>ADRB2</v>
      </c>
      <c r="E96" s="8">
        <v>1.9762655320579799E-2</v>
      </c>
      <c r="F96" s="17">
        <v>0.92578479999999996</v>
      </c>
    </row>
    <row r="97" spans="1:6" ht="60" customHeight="1" x14ac:dyDescent="0.25">
      <c r="A97" s="27">
        <v>94</v>
      </c>
      <c r="B97" s="28" t="s">
        <v>130</v>
      </c>
      <c r="C97" s="19" t="str">
        <f>HYPERLINK("https://portal.genego.com/cgi/entity_page.cgi?term=100&amp;id=8086","Beta-arrestin1")</f>
        <v>Beta-arrestin1</v>
      </c>
      <c r="D97" s="19" t="str">
        <f>HYPERLINK("https://portal.genego.com/cgi/entity_page.cgi?term=20&amp;id=1661103694","ARRB1")</f>
        <v>ARRB1</v>
      </c>
      <c r="E97" s="15">
        <v>-0.12768343399149301</v>
      </c>
      <c r="F97" s="17">
        <v>0.45383469999999998</v>
      </c>
    </row>
    <row r="98" spans="1:6" ht="60" customHeight="1" x14ac:dyDescent="0.25">
      <c r="A98" s="27">
        <v>95</v>
      </c>
      <c r="B98" s="28" t="s">
        <v>131</v>
      </c>
      <c r="C98" s="19" t="str">
        <f>HYPERLINK("https://portal.genego.com/cgi/entity_page.cgi?term=100&amp;id=9193","Beta-arrestin2")</f>
        <v>Beta-arrestin2</v>
      </c>
      <c r="D98" s="19" t="str">
        <f>HYPERLINK("https://portal.genego.com/cgi/entity_page.cgi?term=20&amp;id=-1521146099","ARRB2")</f>
        <v>ARRB2</v>
      </c>
      <c r="E98" s="13">
        <v>-0.54912606242190898</v>
      </c>
      <c r="F98" s="17">
        <v>4.6718280000000003E-3</v>
      </c>
    </row>
    <row r="99" spans="1:6" ht="60" customHeight="1" x14ac:dyDescent="0.25">
      <c r="A99" s="27">
        <v>96</v>
      </c>
      <c r="B99" s="28" t="s">
        <v>132</v>
      </c>
      <c r="C99" s="19" t="str">
        <f>HYPERLINK("https://portal.genego.com/cgi/entity_page.cgi?term=100&amp;id=874","Beta-catenin")</f>
        <v>Beta-catenin</v>
      </c>
      <c r="D99" s="19" t="str">
        <f>HYPERLINK("https://portal.genego.com/cgi/entity_page.cgi?term=20&amp;id=97660228","CTNNB1")</f>
        <v>CTNNB1</v>
      </c>
      <c r="E99" s="15">
        <v>-0.105886341978538</v>
      </c>
      <c r="F99" s="17">
        <v>0.47144130000000001</v>
      </c>
    </row>
    <row r="100" spans="1:6" ht="60" customHeight="1" x14ac:dyDescent="0.25">
      <c r="A100" s="27">
        <v>97</v>
      </c>
      <c r="B100" s="28" t="s">
        <v>133</v>
      </c>
      <c r="C100" s="19" t="str">
        <f>HYPERLINK("https://portal.genego.com/cgi/entity_page.cgi?term=100&amp;id=88","Bid")</f>
        <v>Bid</v>
      </c>
      <c r="D100" s="19" t="str">
        <f>HYPERLINK("https://portal.genego.com/cgi/entity_page.cgi?term=20&amp;id=712008859","BID")</f>
        <v>BID</v>
      </c>
      <c r="E100" s="8">
        <v>9.7995726067041794E-2</v>
      </c>
      <c r="F100" s="17">
        <v>0.58252660000000001</v>
      </c>
    </row>
    <row r="101" spans="1:6" ht="60" customHeight="1" x14ac:dyDescent="0.25">
      <c r="A101" s="27">
        <v>98</v>
      </c>
      <c r="B101" s="28" t="s">
        <v>134</v>
      </c>
      <c r="C101" s="19" t="str">
        <f>HYPERLINK("https://portal.genego.com/cgi/entity_page.cgi?term=100&amp;id=4039","Bim")</f>
        <v>Bim</v>
      </c>
      <c r="D101" s="19" t="str">
        <f>HYPERLINK("https://portal.genego.com/cgi/entity_page.cgi?term=20&amp;id=1890008620","BCL2L11")</f>
        <v>BCL2L11</v>
      </c>
      <c r="E101" s="15">
        <v>-0.17944947878245401</v>
      </c>
      <c r="F101" s="17">
        <v>0.32224979999999998</v>
      </c>
    </row>
    <row r="102" spans="1:6" ht="60" customHeight="1" x14ac:dyDescent="0.25">
      <c r="A102" s="27">
        <v>99</v>
      </c>
      <c r="B102" s="28" t="s">
        <v>135</v>
      </c>
      <c r="C102" s="19" t="str">
        <f>HYPERLINK("https://portal.genego.com/cgi/entity_page.cgi?term=100&amp;id=2734","Bone sialoprotein")</f>
        <v>Bone sialoprotein</v>
      </c>
      <c r="D102" s="19" t="str">
        <f>HYPERLINK("https://portal.genego.com/cgi/entity_page.cgi?term=20&amp;id=-2142952725","IBSP")</f>
        <v>IBSP</v>
      </c>
      <c r="E102" s="8">
        <v>3.91072638320882E-2</v>
      </c>
      <c r="F102" s="17">
        <v>1</v>
      </c>
    </row>
    <row r="103" spans="1:6" ht="60" customHeight="1" x14ac:dyDescent="0.25">
      <c r="A103" s="27">
        <v>100</v>
      </c>
      <c r="B103" s="28" t="s">
        <v>136</v>
      </c>
      <c r="C103" s="19" t="str">
        <f>HYPERLINK("https://portal.genego.com/cgi/entity_page.cgi?term=100&amp;id=91","Brca1")</f>
        <v>Brca1</v>
      </c>
      <c r="D103" s="19" t="str">
        <f>HYPERLINK("https://portal.genego.com/cgi/entity_page.cgi?term=20&amp;id=776518798","BRCA1")</f>
        <v>BRCA1</v>
      </c>
      <c r="E103" s="16">
        <v>-4.9020040977445299E-2</v>
      </c>
      <c r="F103" s="17">
        <v>0.80258339999999995</v>
      </c>
    </row>
    <row r="104" spans="1:6" ht="60" customHeight="1" x14ac:dyDescent="0.25">
      <c r="A104" s="27">
        <v>101</v>
      </c>
      <c r="B104" s="28" t="s">
        <v>137</v>
      </c>
      <c r="C104" s="19" t="str">
        <f>HYPERLINK("https://portal.genego.com/cgi/entity_page.cgi?term=100&amp;id=2121","C/EBP zeta")</f>
        <v>C/EBP zeta</v>
      </c>
      <c r="D104" s="19" t="str">
        <f>HYPERLINK("https://portal.genego.com/cgi/entity_page.cgi?term=20&amp;id=647589659","DDIT3")</f>
        <v>DDIT3</v>
      </c>
      <c r="E104" s="15">
        <v>-9.5331417201587498E-2</v>
      </c>
      <c r="F104" s="17">
        <v>0.58864830000000001</v>
      </c>
    </row>
    <row r="105" spans="1:6" ht="60" customHeight="1" x14ac:dyDescent="0.25">
      <c r="A105" s="27">
        <v>102</v>
      </c>
      <c r="B105" s="28" t="s">
        <v>138</v>
      </c>
      <c r="C105" s="19" t="str">
        <f>HYPERLINK("https://portal.genego.com/cgi/entity_page.cgi?term=100&amp;id=2636","C/EBPalpha")</f>
        <v>C/EBPalpha</v>
      </c>
      <c r="D105" s="19" t="str">
        <f>HYPERLINK("https://portal.genego.com/cgi/entity_page.cgi?term=20&amp;id=-897996869","CEBPA")</f>
        <v>CEBPA</v>
      </c>
      <c r="E105" s="8">
        <v>4.8148151282707803E-3</v>
      </c>
      <c r="F105" s="17">
        <v>1</v>
      </c>
    </row>
    <row r="106" spans="1:6" ht="60" customHeight="1" x14ac:dyDescent="0.25">
      <c r="A106" s="27">
        <v>103</v>
      </c>
      <c r="B106" s="28" t="s">
        <v>139</v>
      </c>
      <c r="C106" s="19" t="str">
        <f>HYPERLINK("https://portal.genego.com/cgi/entity_page.cgi?term=100&amp;id=100","C3G")</f>
        <v>C3G</v>
      </c>
      <c r="D106" s="19" t="str">
        <f>HYPERLINK("https://portal.genego.com/cgi/entity_page.cgi?term=20&amp;id=-593841872","RAPGEF1")</f>
        <v>RAPGEF1</v>
      </c>
      <c r="E106" s="7">
        <v>0.17117959554449599</v>
      </c>
      <c r="F106" s="17">
        <v>0.28602660000000002</v>
      </c>
    </row>
    <row r="107" spans="1:6" ht="60" customHeight="1" x14ac:dyDescent="0.25">
      <c r="A107" s="27">
        <v>104</v>
      </c>
      <c r="B107" s="28" t="s">
        <v>140</v>
      </c>
      <c r="C107" s="19" t="str">
        <f>HYPERLINK("https://portal.genego.com/cgi/entity_page.cgi?term=100&amp;id=-349653028","CACNA1G")</f>
        <v>CACNA1G</v>
      </c>
      <c r="D107" s="19" t="str">
        <f>HYPERLINK("https://portal.genego.com/cgi/entity_page.cgi?term=20&amp;id=-1850980915","CACNA1G")</f>
        <v>CACNA1G</v>
      </c>
      <c r="E107" s="16">
        <v>-1.7767097535153899E-2</v>
      </c>
      <c r="F107" s="17">
        <v>1</v>
      </c>
    </row>
    <row r="108" spans="1:6" ht="60" customHeight="1" x14ac:dyDescent="0.25">
      <c r="A108" s="27">
        <v>105</v>
      </c>
      <c r="B108" s="28" t="s">
        <v>141</v>
      </c>
      <c r="C108" s="19" t="str">
        <f>HYPERLINK("https://portal.genego.com/cgi/entity_page.cgi?term=100&amp;id=2213","CAD")</f>
        <v>CAD</v>
      </c>
      <c r="D108" s="19" t="str">
        <f>HYPERLINK("https://portal.genego.com/cgi/entity_page.cgi?term=20&amp;id=-891839553","CAD")</f>
        <v>CAD</v>
      </c>
      <c r="E108" s="7">
        <v>0.15958719955136899</v>
      </c>
      <c r="F108" s="17">
        <v>0.31814209999999998</v>
      </c>
    </row>
    <row r="109" spans="1:6" ht="60" customHeight="1" x14ac:dyDescent="0.25">
      <c r="A109" s="27">
        <v>106</v>
      </c>
      <c r="B109" s="28" t="s">
        <v>142</v>
      </c>
      <c r="C109" s="19" t="str">
        <f>HYPERLINK("https://portal.genego.com/cgi/entity_page.cgi?term=100&amp;id=-751068013","CAP-C")</f>
        <v>CAP-C</v>
      </c>
      <c r="D109" s="19" t="str">
        <f>HYPERLINK("https://portal.genego.com/cgi/entity_page.cgi?term=20&amp;id=10051","SMC4")</f>
        <v>SMC4</v>
      </c>
      <c r="E109" s="14">
        <v>-0.459845238288144</v>
      </c>
      <c r="F109" s="17">
        <v>3.0430619999999999E-2</v>
      </c>
    </row>
    <row r="110" spans="1:6" ht="60" customHeight="1" x14ac:dyDescent="0.25">
      <c r="A110" s="27">
        <v>107</v>
      </c>
      <c r="B110" s="28" t="s">
        <v>143</v>
      </c>
      <c r="C110" s="19" t="str">
        <f>HYPERLINK("https://portal.genego.com/cgi/entity_page.cgi?term=100&amp;id=-1358702252","CAP-E")</f>
        <v>CAP-E</v>
      </c>
      <c r="D110" s="19" t="str">
        <f>HYPERLINK("https://portal.genego.com/cgi/entity_page.cgi?term=20&amp;id=10592","SMC2")</f>
        <v>SMC2</v>
      </c>
      <c r="E110" s="7">
        <v>0.19703160184447299</v>
      </c>
      <c r="F110" s="17">
        <v>0.2890316</v>
      </c>
    </row>
    <row r="111" spans="1:6" ht="60" customHeight="1" x14ac:dyDescent="0.25">
      <c r="A111" s="27">
        <v>108</v>
      </c>
      <c r="B111" s="28" t="s">
        <v>144</v>
      </c>
      <c r="C111" s="19" t="str">
        <f>HYPERLINK("https://portal.genego.com/cgi/entity_page.cgi?term=100&amp;id=-1320373408","CAP-G")</f>
        <v>CAP-G</v>
      </c>
      <c r="D111" s="19" t="str">
        <f>HYPERLINK("https://portal.genego.com/cgi/entity_page.cgi?term=20&amp;id=807936795","NCAPG")</f>
        <v>NCAPG</v>
      </c>
      <c r="E111" s="14">
        <v>-0.41983887365726302</v>
      </c>
      <c r="F111" s="17">
        <v>1.094209E-2</v>
      </c>
    </row>
    <row r="112" spans="1:6" ht="60" customHeight="1" x14ac:dyDescent="0.25">
      <c r="A112" s="27">
        <v>109</v>
      </c>
      <c r="B112" s="28" t="s">
        <v>145</v>
      </c>
      <c r="C112" s="19" t="str">
        <f>HYPERLINK("https://portal.genego.com/cgi/entity_page.cgi?term=100&amp;id=108","CARM1")</f>
        <v>CARM1</v>
      </c>
      <c r="D112" s="19" t="str">
        <f>HYPERLINK("https://portal.genego.com/cgi/entity_page.cgi?term=20&amp;id=1545010919","CARM1")</f>
        <v>CARM1</v>
      </c>
      <c r="E112" s="15">
        <v>-0.111784981250351</v>
      </c>
      <c r="F112" s="17">
        <v>0.473607</v>
      </c>
    </row>
    <row r="113" spans="1:6" ht="60" customHeight="1" x14ac:dyDescent="0.25">
      <c r="A113" s="27">
        <v>110</v>
      </c>
      <c r="B113" s="28" t="s">
        <v>146</v>
      </c>
      <c r="C113" s="19" t="str">
        <f>HYPERLINK("https://portal.genego.com/cgi/entity_page.cgi?term=100&amp;id=112","CBP")</f>
        <v>CBP</v>
      </c>
      <c r="D113" s="19" t="str">
        <f>HYPERLINK("https://portal.genego.com/cgi/entity_page.cgi?term=20&amp;id=-1849148135","CREBBP")</f>
        <v>CREBBP</v>
      </c>
      <c r="E113" s="8">
        <v>0.1104836896769</v>
      </c>
      <c r="F113" s="17">
        <v>0.54414870000000004</v>
      </c>
    </row>
    <row r="114" spans="1:6" ht="60" customHeight="1" x14ac:dyDescent="0.25">
      <c r="A114" s="27">
        <v>111</v>
      </c>
      <c r="B114" s="28" t="s">
        <v>147</v>
      </c>
      <c r="C114" s="19" t="str">
        <f>HYPERLINK("https://portal.genego.com/cgi/entity_page.cgi?term=100&amp;id=-768767598","CBP80")</f>
        <v>CBP80</v>
      </c>
      <c r="D114" s="19" t="str">
        <f>HYPERLINK("https://portal.genego.com/cgi/entity_page.cgi?term=20&amp;id=1680364846","NCBP1")</f>
        <v>NCBP1</v>
      </c>
      <c r="E114" s="8">
        <v>0.113965172911926</v>
      </c>
      <c r="F114" s="17">
        <v>0.50754319999999997</v>
      </c>
    </row>
    <row r="115" spans="1:6" ht="60" customHeight="1" x14ac:dyDescent="0.25">
      <c r="A115" s="27">
        <v>112</v>
      </c>
      <c r="B115" s="28" t="s">
        <v>148</v>
      </c>
      <c r="C115" s="19" t="str">
        <f>HYPERLINK("https://portal.genego.com/cgi/entity_page.cgi?term=100&amp;id=-303484490","CCDC85C")</f>
        <v>CCDC85C</v>
      </c>
      <c r="D115" s="19" t="str">
        <f>HYPERLINK("https://portal.genego.com/cgi/entity_page.cgi?term=20&amp;id=317762","CCDC85C")</f>
        <v>CCDC85C</v>
      </c>
      <c r="E115" s="8">
        <v>1.64003766269093E-2</v>
      </c>
      <c r="F115" s="17">
        <v>0.93782149999999997</v>
      </c>
    </row>
    <row r="116" spans="1:6" ht="60" customHeight="1" x14ac:dyDescent="0.25">
      <c r="A116" s="27">
        <v>113</v>
      </c>
      <c r="B116" s="28" t="s">
        <v>149</v>
      </c>
      <c r="C116" s="19" t="str">
        <f>HYPERLINK("https://portal.genego.com/cgi/entity_page.cgi?term=100&amp;id=-1547657770","CCL2")</f>
        <v>CCL2</v>
      </c>
      <c r="D116" s="19" t="str">
        <f>HYPERLINK("https://portal.genego.com/cgi/entity_page.cgi?term=20&amp;id=1978121817","CCL2")</f>
        <v>CCL2</v>
      </c>
      <c r="E116" s="8">
        <v>0.108477182969331</v>
      </c>
      <c r="F116" s="17">
        <v>0.55070280000000005</v>
      </c>
    </row>
    <row r="117" spans="1:6" ht="60" customHeight="1" x14ac:dyDescent="0.25">
      <c r="A117" s="27">
        <v>114</v>
      </c>
      <c r="B117" s="28" t="s">
        <v>150</v>
      </c>
      <c r="C117" s="19" t="str">
        <f>HYPERLINK("https://portal.genego.com/cgi/entity_page.cgi?term=100&amp;id=-371060056","CCL23")</f>
        <v>CCL23</v>
      </c>
      <c r="D117" s="19" t="str">
        <f>HYPERLINK("https://portal.genego.com/cgi/entity_page.cgi?term=20&amp;id=-1504660582","CCL23")</f>
        <v>CCL23</v>
      </c>
      <c r="E117" s="16">
        <v>-4.38742405988541E-3</v>
      </c>
      <c r="F117" s="17">
        <v>1</v>
      </c>
    </row>
    <row r="118" spans="1:6" ht="60" customHeight="1" x14ac:dyDescent="0.25">
      <c r="A118" s="27">
        <v>115</v>
      </c>
      <c r="B118" s="28" t="s">
        <v>151</v>
      </c>
      <c r="C118" s="19" t="str">
        <f>HYPERLINK("https://portal.genego.com/cgi/entity_page.cgi?term=100&amp;id=-838460596","CCL5")</f>
        <v>CCL5</v>
      </c>
      <c r="D118" s="19" t="str">
        <f>HYPERLINK("https://portal.genego.com/cgi/entity_page.cgi?term=20&amp;id=278075691","CCL5")</f>
        <v>CCL5</v>
      </c>
      <c r="E118" s="8">
        <v>2.0544958090211701E-2</v>
      </c>
      <c r="F118" s="17">
        <v>1</v>
      </c>
    </row>
    <row r="119" spans="1:6" ht="60" customHeight="1" x14ac:dyDescent="0.25">
      <c r="A119" s="27">
        <v>116</v>
      </c>
      <c r="B119" s="28" t="s">
        <v>152</v>
      </c>
      <c r="C119" s="19" t="str">
        <f>HYPERLINK("https://portal.genego.com/cgi/entity_page.cgi?term=100&amp;id=113","CCR3")</f>
        <v>CCR3</v>
      </c>
      <c r="D119" s="19" t="str">
        <f>HYPERLINK("https://portal.genego.com/cgi/entity_page.cgi?term=20&amp;id=-1807175240","CCR3")</f>
        <v>CCR3</v>
      </c>
      <c r="E119" s="8">
        <v>2.63283521175305E-3</v>
      </c>
      <c r="F119" s="17">
        <v>1</v>
      </c>
    </row>
    <row r="120" spans="1:6" ht="60" customHeight="1" x14ac:dyDescent="0.25">
      <c r="A120" s="27">
        <v>117</v>
      </c>
      <c r="B120" s="28" t="s">
        <v>153</v>
      </c>
      <c r="C120" s="19" t="str">
        <f>HYPERLINK("https://portal.genego.com/cgi/entity_page.cgi?term=100&amp;id=-1999091005","CD36")</f>
        <v>CD36</v>
      </c>
      <c r="D120" s="19" t="str">
        <f>HYPERLINK("https://portal.genego.com/cgi/entity_page.cgi?term=20&amp;id=1573201331","CD36")</f>
        <v>CD36</v>
      </c>
      <c r="E120" s="8">
        <v>1.61683386630679E-2</v>
      </c>
      <c r="F120" s="17">
        <v>1</v>
      </c>
    </row>
    <row r="121" spans="1:6" ht="60" customHeight="1" x14ac:dyDescent="0.25">
      <c r="A121" s="27">
        <v>118</v>
      </c>
      <c r="B121" s="28" t="s">
        <v>154</v>
      </c>
      <c r="C121" s="19" t="str">
        <f>HYPERLINK("https://portal.genego.com/cgi/entity_page.cgi?term=100&amp;id=27","CD38")</f>
        <v>CD38</v>
      </c>
      <c r="D121" s="19" t="str">
        <f>HYPERLINK("https://portal.genego.com/cgi/entity_page.cgi?term=20&amp;id=-766967233","CD38")</f>
        <v>CD38</v>
      </c>
      <c r="E121" s="8">
        <v>4.0283116163788704E-3</v>
      </c>
      <c r="F121" s="17">
        <v>1</v>
      </c>
    </row>
    <row r="122" spans="1:6" ht="60" customHeight="1" x14ac:dyDescent="0.25">
      <c r="A122" s="27">
        <v>119</v>
      </c>
      <c r="B122" s="28" t="s">
        <v>155</v>
      </c>
      <c r="C122" s="19" t="str">
        <f>HYPERLINK("https://portal.genego.com/cgi/entity_page.cgi?term=100&amp;id=121","CD4")</f>
        <v>CD4</v>
      </c>
      <c r="D122" s="19" t="str">
        <f>HYPERLINK("https://portal.genego.com/cgi/entity_page.cgi?term=20&amp;id=1167401669","CD4")</f>
        <v>CD4</v>
      </c>
      <c r="E122" s="8">
        <v>3.6238829604743297E-2</v>
      </c>
      <c r="F122" s="17">
        <v>1</v>
      </c>
    </row>
    <row r="123" spans="1:6" ht="60" customHeight="1" x14ac:dyDescent="0.25">
      <c r="A123" s="27">
        <v>120</v>
      </c>
      <c r="B123" s="28" t="s">
        <v>156</v>
      </c>
      <c r="C123" s="19" t="str">
        <f>HYPERLINK("https://portal.genego.com/cgi/entity_page.cgi?term=100&amp;id=124","CD44")</f>
        <v>CD44</v>
      </c>
      <c r="D123" s="19" t="str">
        <f>HYPERLINK("https://portal.genego.com/cgi/entity_page.cgi?term=20&amp;id=841376480","CD44")</f>
        <v>CD44</v>
      </c>
      <c r="E123" s="7">
        <v>0.11698824067663401</v>
      </c>
      <c r="F123" s="17">
        <v>0.43512479999999998</v>
      </c>
    </row>
    <row r="124" spans="1:6" ht="60" customHeight="1" x14ac:dyDescent="0.25">
      <c r="A124" s="27">
        <v>121</v>
      </c>
      <c r="B124" s="28" t="s">
        <v>157</v>
      </c>
      <c r="C124" s="19" t="str">
        <f>HYPERLINK("https://portal.genego.com/cgi/entity_page.cgi?term=100&amp;id=6324","CD9")</f>
        <v>CD9</v>
      </c>
      <c r="D124" s="19" t="str">
        <f>HYPERLINK("https://portal.genego.com/cgi/entity_page.cgi?term=20&amp;id=1950323222","CD9")</f>
        <v>CD9</v>
      </c>
      <c r="E124" s="6">
        <v>0.56194135429189895</v>
      </c>
      <c r="F124" s="17">
        <v>3.6149359999999999E-4</v>
      </c>
    </row>
    <row r="125" spans="1:6" ht="60" customHeight="1" x14ac:dyDescent="0.25">
      <c r="A125" s="27">
        <v>122</v>
      </c>
      <c r="B125" s="28" t="s">
        <v>158</v>
      </c>
      <c r="C125" s="19" t="str">
        <f>HYPERLINK("https://portal.genego.com/cgi/entity_page.cgi?term=100&amp;id=-1275526986","CDC14a")</f>
        <v>CDC14a</v>
      </c>
      <c r="D125" s="19" t="str">
        <f>HYPERLINK("https://portal.genego.com/cgi/entity_page.cgi?term=20&amp;id=1657892599","CDC14A")</f>
        <v>CDC14A</v>
      </c>
      <c r="E125" s="7">
        <v>0.17013117103377801</v>
      </c>
      <c r="F125" s="17">
        <v>0.3397193</v>
      </c>
    </row>
    <row r="126" spans="1:6" ht="60" customHeight="1" x14ac:dyDescent="0.25">
      <c r="A126" s="27">
        <v>123</v>
      </c>
      <c r="B126" s="28" t="s">
        <v>159</v>
      </c>
      <c r="C126" s="19" t="str">
        <f>HYPERLINK("https://portal.genego.com/cgi/entity_page.cgi?term=100&amp;id=-726715001","CDC14b")</f>
        <v>CDC14b</v>
      </c>
      <c r="D126" s="19" t="str">
        <f>HYPERLINK("https://portal.genego.com/cgi/entity_page.cgi?term=20&amp;id=-1352385642","CDC14B")</f>
        <v>CDC14B</v>
      </c>
      <c r="E126" s="16">
        <v>-2.6864705115073099E-2</v>
      </c>
      <c r="F126" s="17">
        <v>0.8962966</v>
      </c>
    </row>
    <row r="127" spans="1:6" ht="60" customHeight="1" x14ac:dyDescent="0.25">
      <c r="A127" s="27">
        <v>124</v>
      </c>
      <c r="B127" s="28" t="s">
        <v>160</v>
      </c>
      <c r="C127" s="19" t="str">
        <f>HYPERLINK("https://portal.genego.com/cgi/entity_page.cgi?term=100&amp;id=-232249755","CDC18L (CDC6)")</f>
        <v>CDC18L (CDC6)</v>
      </c>
      <c r="D127" s="19" t="str">
        <f>HYPERLINK("https://portal.genego.com/cgi/entity_page.cgi?term=20&amp;id=-567007731","CDC6")</f>
        <v>CDC6</v>
      </c>
      <c r="E127" s="8">
        <v>1.53867888142182E-3</v>
      </c>
      <c r="F127" s="17">
        <v>0.99374209999999996</v>
      </c>
    </row>
    <row r="128" spans="1:6" ht="60" customHeight="1" x14ac:dyDescent="0.25">
      <c r="A128" s="27">
        <v>125</v>
      </c>
      <c r="B128" s="28" t="s">
        <v>161</v>
      </c>
      <c r="C128" s="19" t="str">
        <f>HYPERLINK("https://portal.genego.com/cgi/entity_page.cgi?term=100&amp;id=2292","CDC20")</f>
        <v>CDC20</v>
      </c>
      <c r="D128" s="19" t="str">
        <f>HYPERLINK("https://portal.genego.com/cgi/entity_page.cgi?term=20&amp;id=1207643740","CDC20")</f>
        <v>CDC20</v>
      </c>
      <c r="E128" s="10">
        <v>-1.0268111895793199</v>
      </c>
      <c r="F128" s="17">
        <v>2.0040010000000001E-10</v>
      </c>
    </row>
    <row r="129" spans="1:6" ht="60" customHeight="1" x14ac:dyDescent="0.25">
      <c r="A129" s="27">
        <v>126</v>
      </c>
      <c r="B129" s="28" t="s">
        <v>162</v>
      </c>
      <c r="C129" s="19" t="str">
        <f>HYPERLINK("https://portal.genego.com/cgi/entity_page.cgi?term=100&amp;id=6056","CDC25A")</f>
        <v>CDC25A</v>
      </c>
      <c r="D129" s="19" t="str">
        <f>HYPERLINK("https://portal.genego.com/cgi/entity_page.cgi?term=20&amp;id=1812507652","CDC25A")</f>
        <v>CDC25A</v>
      </c>
      <c r="E129" s="8">
        <v>5.2073472368634299E-2</v>
      </c>
      <c r="F129" s="17">
        <v>0.78944250000000005</v>
      </c>
    </row>
    <row r="130" spans="1:6" ht="60" customHeight="1" x14ac:dyDescent="0.25">
      <c r="A130" s="27">
        <v>127</v>
      </c>
      <c r="B130" s="28" t="s">
        <v>163</v>
      </c>
      <c r="C130" s="19" t="str">
        <f>HYPERLINK("https://portal.genego.com/cgi/entity_page.cgi?term=100&amp;id=6061","CDC25B")</f>
        <v>CDC25B</v>
      </c>
      <c r="D130" s="19" t="str">
        <f>HYPERLINK("https://portal.genego.com/cgi/entity_page.cgi?term=20&amp;id=1952928736","CDC25B")</f>
        <v>CDC25B</v>
      </c>
      <c r="E130" s="11">
        <v>-0.84820863151407899</v>
      </c>
      <c r="F130" s="17">
        <v>5.3942279999999999E-7</v>
      </c>
    </row>
    <row r="131" spans="1:6" ht="60" customHeight="1" x14ac:dyDescent="0.25">
      <c r="A131" s="27">
        <v>128</v>
      </c>
      <c r="B131" s="28" t="s">
        <v>164</v>
      </c>
      <c r="C131" s="19" t="str">
        <f>HYPERLINK("https://portal.genego.com/cgi/entity_page.cgi?term=100&amp;id=6236","CDC25C")</f>
        <v>CDC25C</v>
      </c>
      <c r="D131" s="19" t="str">
        <f>HYPERLINK("https://portal.genego.com/cgi/entity_page.cgi?term=20&amp;id=-899465075","CDC25C")</f>
        <v>CDC25C</v>
      </c>
      <c r="E131" s="14">
        <v>-0.37870476740011</v>
      </c>
      <c r="F131" s="17">
        <v>0.1203253</v>
      </c>
    </row>
    <row r="132" spans="1:6" ht="60" customHeight="1" x14ac:dyDescent="0.25">
      <c r="A132" s="27">
        <v>129</v>
      </c>
      <c r="B132" s="28" t="s">
        <v>165</v>
      </c>
      <c r="C132" s="19" t="str">
        <f>HYPERLINK("https://portal.genego.com/cgi/entity_page.cgi?term=100&amp;id=-545579034","CDC27")</f>
        <v>CDC27</v>
      </c>
      <c r="D132" s="19" t="str">
        <f>HYPERLINK("https://portal.genego.com/cgi/entity_page.cgi?term=20&amp;id=-98779069","CDC27")</f>
        <v>CDC27</v>
      </c>
      <c r="E132" s="7">
        <v>0.209849514629662</v>
      </c>
      <c r="F132" s="17">
        <v>0.25208009999999997</v>
      </c>
    </row>
    <row r="133" spans="1:6" ht="60" customHeight="1" x14ac:dyDescent="0.25">
      <c r="A133" s="27">
        <v>130</v>
      </c>
      <c r="B133" s="28" t="s">
        <v>166</v>
      </c>
      <c r="C133" s="19" t="str">
        <f>HYPERLINK("https://portal.genego.com/cgi/entity_page.cgi?term=100&amp;id=2916","CDC34")</f>
        <v>CDC34</v>
      </c>
      <c r="D133" s="19" t="str">
        <f>HYPERLINK("https://portal.genego.com/cgi/entity_page.cgi?term=20&amp;id=-1166811309","CDC34")</f>
        <v>CDC34</v>
      </c>
      <c r="E133" s="16">
        <v>-7.4104499698805198E-2</v>
      </c>
      <c r="F133" s="17">
        <v>0.68613279999999999</v>
      </c>
    </row>
    <row r="134" spans="1:6" ht="60" customHeight="1" x14ac:dyDescent="0.25">
      <c r="A134" s="27">
        <v>131</v>
      </c>
      <c r="B134" s="28" t="s">
        <v>167</v>
      </c>
      <c r="C134" s="19" t="str">
        <f>HYPERLINK("https://portal.genego.com/cgi/entity_page.cgi?term=100&amp;id=357","CDC37")</f>
        <v>CDC37</v>
      </c>
      <c r="D134" s="19" t="str">
        <f>HYPERLINK("https://portal.genego.com/cgi/entity_page.cgi?term=20&amp;id=519546121","CDC37")</f>
        <v>CDC37</v>
      </c>
      <c r="E134" s="8">
        <v>5.1165928675235402E-2</v>
      </c>
      <c r="F134" s="17">
        <v>0.79230370000000006</v>
      </c>
    </row>
    <row r="135" spans="1:6" ht="60" customHeight="1" x14ac:dyDescent="0.25">
      <c r="A135" s="27">
        <v>132</v>
      </c>
      <c r="B135" s="28" t="s">
        <v>168</v>
      </c>
      <c r="C135" s="19" t="str">
        <f>HYPERLINK("https://portal.genego.com/cgi/entity_page.cgi?term=100&amp;id=182","CDC42")</f>
        <v>CDC42</v>
      </c>
      <c r="D135" s="19" t="str">
        <f>HYPERLINK("https://portal.genego.com/cgi/entity_page.cgi?term=20&amp;id=-1158830276","CDC42")</f>
        <v>CDC42</v>
      </c>
      <c r="E135" s="8">
        <v>5.80592237883506E-2</v>
      </c>
      <c r="F135" s="17">
        <v>0.72562329999999997</v>
      </c>
    </row>
    <row r="136" spans="1:6" ht="60" customHeight="1" x14ac:dyDescent="0.25">
      <c r="A136" s="27">
        <v>133</v>
      </c>
      <c r="B136" s="28" t="s">
        <v>169</v>
      </c>
      <c r="C136" s="19" t="str">
        <f>HYPERLINK("https://portal.genego.com/cgi/entity_page.cgi?term=100&amp;id=-846114585","CDC45L")</f>
        <v>CDC45L</v>
      </c>
      <c r="D136" s="19" t="str">
        <f>HYPERLINK("https://portal.genego.com/cgi/entity_page.cgi?term=20&amp;id=-2004830867","CDC45")</f>
        <v>CDC45</v>
      </c>
      <c r="E136" s="14">
        <v>-0.28077860570818303</v>
      </c>
      <c r="F136" s="17">
        <v>0.15291469999999999</v>
      </c>
    </row>
    <row r="137" spans="1:6" ht="60" customHeight="1" x14ac:dyDescent="0.25">
      <c r="A137" s="27">
        <v>134</v>
      </c>
      <c r="B137" s="28" t="s">
        <v>170</v>
      </c>
      <c r="C137" s="19" t="str">
        <f>HYPERLINK("https://portal.genego.com/cgi/entity_page.cgi?term=100&amp;id=-1557197986","CDC7")</f>
        <v>CDC7</v>
      </c>
      <c r="D137" s="19" t="str">
        <f>HYPERLINK("https://portal.genego.com/cgi/entity_page.cgi?term=20&amp;id=1814253568","CDC7")</f>
        <v>CDC7</v>
      </c>
      <c r="E137" s="16">
        <v>-1.04280279337531E-2</v>
      </c>
      <c r="F137" s="17">
        <v>0.95767659999999999</v>
      </c>
    </row>
    <row r="138" spans="1:6" ht="60" customHeight="1" x14ac:dyDescent="0.25">
      <c r="A138" s="27">
        <v>135</v>
      </c>
      <c r="B138" s="28" t="s">
        <v>171</v>
      </c>
      <c r="C138" s="19" t="str">
        <f>HYPERLINK("https://portal.genego.com/cgi/entity_page.cgi?term=100&amp;id=-948839330","CDCA1")</f>
        <v>CDCA1</v>
      </c>
      <c r="D138" s="19" t="str">
        <f>HYPERLINK("https://portal.genego.com/cgi/entity_page.cgi?term=20&amp;id=792791236","NUF2")</f>
        <v>NUF2</v>
      </c>
      <c r="E138" s="12">
        <v>-0.738312028117316</v>
      </c>
      <c r="F138" s="17">
        <v>8.014501E-5</v>
      </c>
    </row>
    <row r="139" spans="1:6" ht="60" customHeight="1" x14ac:dyDescent="0.25">
      <c r="A139" s="27">
        <v>136</v>
      </c>
      <c r="B139" s="28" t="s">
        <v>172</v>
      </c>
      <c r="C139" s="19" t="str">
        <f>HYPERLINK("https://portal.genego.com/cgi/entity_page.cgi?term=100&amp;id=-705001517","CDH1")</f>
        <v>CDH1</v>
      </c>
      <c r="D139" s="19" t="str">
        <f>HYPERLINK("https://portal.genego.com/cgi/entity_page.cgi?term=20&amp;id=-1498153567","FZR1")</f>
        <v>FZR1</v>
      </c>
      <c r="E139" s="15">
        <v>-0.13600509274320999</v>
      </c>
      <c r="F139" s="17">
        <v>0.43887379999999998</v>
      </c>
    </row>
    <row r="140" spans="1:6" ht="60" customHeight="1" x14ac:dyDescent="0.25">
      <c r="A140" s="27">
        <v>137</v>
      </c>
      <c r="B140" s="28" t="s">
        <v>173</v>
      </c>
      <c r="C140" s="19" t="str">
        <f>HYPERLINK("https://portal.genego.com/cgi/entity_page.cgi?term=100&amp;id=133","CDK1 (p34)")</f>
        <v>CDK1 (p34)</v>
      </c>
      <c r="D140" s="19" t="str">
        <f>HYPERLINK("https://portal.genego.com/cgi/entity_page.cgi?term=20&amp;id=912883926","CDK1")</f>
        <v>CDK1</v>
      </c>
      <c r="E140" s="15">
        <v>-0.22461193791629699</v>
      </c>
      <c r="F140" s="17">
        <v>0.1873891</v>
      </c>
    </row>
    <row r="141" spans="1:6" ht="60" customHeight="1" x14ac:dyDescent="0.25">
      <c r="A141" s="27">
        <v>138</v>
      </c>
      <c r="B141" s="28" t="s">
        <v>174</v>
      </c>
      <c r="C141" s="19" t="str">
        <f>HYPERLINK("https://portal.genego.com/cgi/entity_page.cgi?term=100&amp;id=-1440790849","CDK11")</f>
        <v>CDK11</v>
      </c>
      <c r="D141" s="19" t="str">
        <f>HYPERLINK("https://portal.genego.com/cgi/entity_page.cgi?term=20&amp;id=23097","CDK19")</f>
        <v>CDK19</v>
      </c>
      <c r="E141" s="15">
        <v>-0.115200056469679</v>
      </c>
      <c r="F141" s="17">
        <v>0.52229029999999999</v>
      </c>
    </row>
    <row r="142" spans="1:6" ht="60" customHeight="1" x14ac:dyDescent="0.25">
      <c r="A142" s="27">
        <v>139</v>
      </c>
      <c r="B142" s="28" t="s">
        <v>175</v>
      </c>
      <c r="C142" s="19" t="str">
        <f>HYPERLINK("https://portal.genego.com/cgi/entity_page.cgi?term=100&amp;id=134","CDK2")</f>
        <v>CDK2</v>
      </c>
      <c r="D142" s="19" t="str">
        <f>HYPERLINK("https://portal.genego.com/cgi/entity_page.cgi?term=20&amp;id=1785894687","CDK2")</f>
        <v>CDK2</v>
      </c>
      <c r="E142" s="15">
        <v>-0.25037710631243398</v>
      </c>
      <c r="F142" s="17">
        <v>0.1282228</v>
      </c>
    </row>
    <row r="143" spans="1:6" ht="60" customHeight="1" x14ac:dyDescent="0.25">
      <c r="A143" s="27">
        <v>140</v>
      </c>
      <c r="B143" s="28" t="s">
        <v>176</v>
      </c>
      <c r="C143" s="19" t="str">
        <f>HYPERLINK("https://portal.genego.com/cgi/entity_page.cgi?term=100&amp;id=135","CDK4")</f>
        <v>CDK4</v>
      </c>
      <c r="D143" s="19" t="str">
        <f>HYPERLINK("https://portal.genego.com/cgi/entity_page.cgi?term=20&amp;id=-1793945741","CDK4")</f>
        <v>CDK4</v>
      </c>
      <c r="E143" s="13">
        <v>-0.50426006962259495</v>
      </c>
      <c r="F143" s="17">
        <v>1.518946E-3</v>
      </c>
    </row>
    <row r="144" spans="1:6" ht="60" customHeight="1" x14ac:dyDescent="0.25">
      <c r="A144" s="27">
        <v>141</v>
      </c>
      <c r="B144" s="28" t="s">
        <v>177</v>
      </c>
      <c r="C144" s="19" t="str">
        <f>HYPERLINK("https://portal.genego.com/cgi/entity_page.cgi?term=100&amp;id=185","CDK6")</f>
        <v>CDK6</v>
      </c>
      <c r="D144" s="19" t="str">
        <f>HYPERLINK("https://portal.genego.com/cgi/entity_page.cgi?term=20&amp;id=86519772","CDK6")</f>
        <v>CDK6</v>
      </c>
      <c r="E144" s="5">
        <v>0.61600665967825696</v>
      </c>
      <c r="F144" s="17">
        <v>1.269256E-2</v>
      </c>
    </row>
    <row r="145" spans="1:6" ht="60" customHeight="1" x14ac:dyDescent="0.25">
      <c r="A145" s="27">
        <v>142</v>
      </c>
      <c r="B145" s="28" t="s">
        <v>178</v>
      </c>
      <c r="C145" s="19" t="str">
        <f>HYPERLINK("https://portal.genego.com/cgi/entity_page.cgi?term=100&amp;id=2225","CDK7")</f>
        <v>CDK7</v>
      </c>
      <c r="D145" s="19" t="str">
        <f>HYPERLINK("https://portal.genego.com/cgi/entity_page.cgi?term=20&amp;id=-926701708","CDK7")</f>
        <v>CDK7</v>
      </c>
      <c r="E145" s="16">
        <v>-3.0036416225657201E-2</v>
      </c>
      <c r="F145" s="17">
        <v>0.87992729999999997</v>
      </c>
    </row>
    <row r="146" spans="1:6" ht="60" customHeight="1" x14ac:dyDescent="0.25">
      <c r="A146" s="27">
        <v>143</v>
      </c>
      <c r="B146" s="28" t="s">
        <v>179</v>
      </c>
      <c r="C146" s="19" t="str">
        <f>HYPERLINK("https://portal.genego.com/cgi/entity_page.cgi?term=100&amp;id=-984852657","CDON")</f>
        <v>CDON</v>
      </c>
      <c r="D146" s="19" t="str">
        <f>HYPERLINK("https://portal.genego.com/cgi/entity_page.cgi?term=20&amp;id=-2040083887","CDON")</f>
        <v>CDON</v>
      </c>
      <c r="E146" s="16">
        <v>-2.5012959116482202E-3</v>
      </c>
      <c r="F146" s="17">
        <v>0.98870619999999998</v>
      </c>
    </row>
    <row r="147" spans="1:6" ht="60" customHeight="1" x14ac:dyDescent="0.25">
      <c r="A147" s="27">
        <v>144</v>
      </c>
      <c r="B147" s="28" t="s">
        <v>180</v>
      </c>
      <c r="C147" s="19" t="str">
        <f>HYPERLINK("https://portal.genego.com/cgi/entity_page.cgi?term=100&amp;id=-756341948","CENP-A")</f>
        <v>CENP-A</v>
      </c>
      <c r="D147" s="19" t="str">
        <f>HYPERLINK("https://portal.genego.com/cgi/entity_page.cgi?term=20&amp;id=-1205599227","CENPA")</f>
        <v>CENPA</v>
      </c>
      <c r="E147" s="14">
        <v>-0.400247849280917</v>
      </c>
      <c r="F147" s="17">
        <v>0.10886220000000001</v>
      </c>
    </row>
    <row r="148" spans="1:6" ht="60" customHeight="1" x14ac:dyDescent="0.25">
      <c r="A148" s="27">
        <v>145</v>
      </c>
      <c r="B148" s="28" t="s">
        <v>181</v>
      </c>
      <c r="C148" s="19" t="str">
        <f>HYPERLINK("https://portal.genego.com/cgi/entity_page.cgi?term=100&amp;id=-1034419529","CENP-B")</f>
        <v>CENP-B</v>
      </c>
      <c r="D148" s="19" t="str">
        <f>HYPERLINK("https://portal.genego.com/cgi/entity_page.cgi?term=20&amp;id=-299115250","CENPB")</f>
        <v>CENPB</v>
      </c>
      <c r="E148" s="15">
        <v>-0.244396054746644</v>
      </c>
      <c r="F148" s="17">
        <v>0.185475</v>
      </c>
    </row>
    <row r="149" spans="1:6" ht="60" customHeight="1" x14ac:dyDescent="0.25">
      <c r="A149" s="27">
        <v>146</v>
      </c>
      <c r="B149" s="28" t="s">
        <v>182</v>
      </c>
      <c r="C149" s="19" t="str">
        <f>HYPERLINK("https://portal.genego.com/cgi/entity_page.cgi?term=100&amp;id=-1512993179","CENP-E")</f>
        <v>CENP-E</v>
      </c>
      <c r="D149" s="19" t="str">
        <f>HYPERLINK("https://portal.genego.com/cgi/entity_page.cgi?term=20&amp;id=-2141264520","CENPE")</f>
        <v>CENPE</v>
      </c>
      <c r="E149" s="8">
        <v>3.4915941671696198E-2</v>
      </c>
      <c r="F149" s="17">
        <v>0.85396879999999997</v>
      </c>
    </row>
    <row r="150" spans="1:6" ht="60" customHeight="1" x14ac:dyDescent="0.25">
      <c r="A150" s="27">
        <v>147</v>
      </c>
      <c r="B150" s="28" t="s">
        <v>183</v>
      </c>
      <c r="C150" s="19" t="str">
        <f>HYPERLINK("https://portal.genego.com/cgi/entity_page.cgi?term=100&amp;id=-1236651847","CENP-F")</f>
        <v>CENP-F</v>
      </c>
      <c r="D150" s="19" t="str">
        <f>HYPERLINK("https://portal.genego.com/cgi/entity_page.cgi?term=20&amp;id=2017582723","CENPF")</f>
        <v>CENPF</v>
      </c>
      <c r="E150" s="14">
        <v>-0.32825514669604899</v>
      </c>
      <c r="F150" s="17">
        <v>0.12961790000000001</v>
      </c>
    </row>
    <row r="151" spans="1:6" ht="60" customHeight="1" x14ac:dyDescent="0.25">
      <c r="A151" s="27">
        <v>148</v>
      </c>
      <c r="B151" s="28" t="s">
        <v>184</v>
      </c>
      <c r="C151" s="19" t="str">
        <f>HYPERLINK("https://portal.genego.com/cgi/entity_page.cgi?term=100&amp;id=-84529033","CENP-H")</f>
        <v>CENP-H</v>
      </c>
      <c r="D151" s="19" t="str">
        <f>HYPERLINK("https://portal.genego.com/cgi/entity_page.cgi?term=20&amp;id=-918343406","CENPH")</f>
        <v>CENPH</v>
      </c>
      <c r="E151" s="11">
        <v>-0.92387256766633497</v>
      </c>
      <c r="F151" s="17">
        <v>2.9424399999999998E-4</v>
      </c>
    </row>
    <row r="152" spans="1:6" ht="60" customHeight="1" x14ac:dyDescent="0.25">
      <c r="A152" s="27">
        <v>149</v>
      </c>
      <c r="B152" s="28" t="s">
        <v>185</v>
      </c>
      <c r="C152" s="19" t="str">
        <f>HYPERLINK("https://portal.genego.com/cgi/entity_page.cgi?term=100&amp;id=-517257200","CEP164")</f>
        <v>CEP164</v>
      </c>
      <c r="D152" s="19" t="str">
        <f>HYPERLINK("https://portal.genego.com/cgi/entity_page.cgi?term=20&amp;id=22897","CEP164")</f>
        <v>CEP164</v>
      </c>
      <c r="E152" s="8">
        <v>6.1999137672667598E-2</v>
      </c>
      <c r="F152" s="17">
        <v>0.72261909999999996</v>
      </c>
    </row>
    <row r="153" spans="1:6" ht="60" customHeight="1" x14ac:dyDescent="0.25">
      <c r="A153" s="27">
        <v>150</v>
      </c>
      <c r="B153" s="28" t="s">
        <v>186</v>
      </c>
      <c r="C153" s="19" t="str">
        <f>HYPERLINK("https://portal.genego.com/cgi/entity_page.cgi?term=100&amp;id=-1414333158","CHTF18")</f>
        <v>CHTF18</v>
      </c>
      <c r="D153" s="19" t="str">
        <f>HYPERLINK("https://portal.genego.com/cgi/entity_page.cgi?term=20&amp;id=63922","CHTF18")</f>
        <v>CHTF18</v>
      </c>
      <c r="E153" s="16">
        <v>-9.2442397723470904E-2</v>
      </c>
      <c r="F153" s="17">
        <v>0.60751429999999995</v>
      </c>
    </row>
    <row r="154" spans="1:6" ht="60" customHeight="1" x14ac:dyDescent="0.25">
      <c r="A154" s="27">
        <v>151</v>
      </c>
      <c r="B154" s="28" t="s">
        <v>187</v>
      </c>
      <c r="C154" s="19" t="str">
        <f>HYPERLINK("https://portal.genego.com/cgi/entity_page.cgi?term=100&amp;id=6238","CKS1")</f>
        <v>CKS1</v>
      </c>
      <c r="D154" s="19" t="str">
        <f>HYPERLINK("https://portal.genego.com/cgi/entity_page.cgi?term=20&amp;id=1149384320","CKS1B")</f>
        <v>CKS1B</v>
      </c>
      <c r="E154" s="13">
        <v>-0.53420570029799797</v>
      </c>
      <c r="F154" s="17">
        <v>3.3274509999999999E-3</v>
      </c>
    </row>
    <row r="155" spans="1:6" ht="60" customHeight="1" x14ac:dyDescent="0.25">
      <c r="A155" s="27">
        <v>152</v>
      </c>
      <c r="B155" s="28" t="s">
        <v>188</v>
      </c>
      <c r="C155" s="19" t="str">
        <f>HYPERLINK("https://portal.genego.com/cgi/entity_page.cgi?term=100&amp;id=-944750363","CLIP170")</f>
        <v>CLIP170</v>
      </c>
      <c r="D155" s="19" t="str">
        <f>HYPERLINK("https://portal.genego.com/cgi/entity_page.cgi?term=20&amp;id=1170677209","CLIP1")</f>
        <v>CLIP1</v>
      </c>
      <c r="E155" s="7">
        <v>0.26218505984096901</v>
      </c>
      <c r="F155" s="17">
        <v>0.13918649999999999</v>
      </c>
    </row>
    <row r="156" spans="1:6" ht="60" customHeight="1" x14ac:dyDescent="0.25">
      <c r="A156" s="27">
        <v>153</v>
      </c>
      <c r="B156" s="28" t="s">
        <v>189</v>
      </c>
      <c r="C156" s="19" t="str">
        <f>HYPERLINK("https://portal.genego.com/cgi/entity_page.cgi?term=100&amp;id=-317098571","CMYA3")</f>
        <v>CMYA3</v>
      </c>
      <c r="D156" s="19" t="str">
        <f>HYPERLINK("https://portal.genego.com/cgi/entity_page.cgi?term=20&amp;id=129446","XIRP2")</f>
        <v>XIRP2</v>
      </c>
      <c r="E156" s="8">
        <v>2.1239192077307499E-3</v>
      </c>
      <c r="F156" s="17">
        <v>1</v>
      </c>
    </row>
    <row r="157" spans="1:6" ht="60" customHeight="1" x14ac:dyDescent="0.25">
      <c r="A157" s="27">
        <v>154</v>
      </c>
      <c r="B157" s="28" t="s">
        <v>190</v>
      </c>
      <c r="C157" s="19" t="str">
        <f>HYPERLINK("https://portal.genego.com/cgi/entity_page.cgi?term=100&amp;id=-891205129","CNAP1")</f>
        <v>CNAP1</v>
      </c>
      <c r="D157" s="19" t="str">
        <f>HYPERLINK("https://portal.genego.com/cgi/entity_page.cgi?term=20&amp;id=-2127109394","NCAPD2")</f>
        <v>NCAPD2</v>
      </c>
      <c r="E157" s="13">
        <v>-0.53430170325003701</v>
      </c>
      <c r="F157" s="17">
        <v>2.1161539999999999E-4</v>
      </c>
    </row>
    <row r="158" spans="1:6" ht="60" customHeight="1" x14ac:dyDescent="0.25">
      <c r="A158" s="27">
        <v>155</v>
      </c>
      <c r="B158" s="28" t="s">
        <v>191</v>
      </c>
      <c r="C158" s="19" t="str">
        <f>HYPERLINK("https://portal.genego.com/cgi/entity_page.cgi?term=100&amp;id=4628","COL1A1")</f>
        <v>COL1A1</v>
      </c>
      <c r="D158" s="19" t="str">
        <f>HYPERLINK("https://portal.genego.com/cgi/entity_page.cgi?term=20&amp;id=1872597631","COL1A1")</f>
        <v>COL1A1</v>
      </c>
      <c r="E158" s="15">
        <v>-0.148794241359478</v>
      </c>
      <c r="F158" s="17">
        <v>0.40316279999999999</v>
      </c>
    </row>
    <row r="159" spans="1:6" ht="60" customHeight="1" x14ac:dyDescent="0.25">
      <c r="A159" s="27">
        <v>156</v>
      </c>
      <c r="B159" s="28" t="s">
        <v>192</v>
      </c>
      <c r="C159" s="19" t="str">
        <f>HYPERLINK("https://portal.genego.com/cgi/entity_page.cgi?term=100&amp;id=153","COX-2 (PTGS2)")</f>
        <v>COX-2 (PTGS2)</v>
      </c>
      <c r="D159" s="19" t="str">
        <f>HYPERLINK("https://portal.genego.com/cgi/entity_page.cgi?term=20&amp;id=-944648303","PTGS2")</f>
        <v>PTGS2</v>
      </c>
      <c r="E159" s="7">
        <v>0.14912915907826699</v>
      </c>
      <c r="F159" s="17">
        <v>0.28760360000000001</v>
      </c>
    </row>
    <row r="160" spans="1:6" ht="60" customHeight="1" x14ac:dyDescent="0.25">
      <c r="A160" s="27">
        <v>157</v>
      </c>
      <c r="B160" s="28" t="s">
        <v>193</v>
      </c>
      <c r="C160" s="19" t="str">
        <f>HYPERLINK("https://portal.genego.com/cgi/entity_page.cgi?term=100&amp;id=-1397431958","CRB3")</f>
        <v>CRB3</v>
      </c>
      <c r="D160" s="19" t="str">
        <f>HYPERLINK("https://portal.genego.com/cgi/entity_page.cgi?term=20&amp;id=92359","CRB3")</f>
        <v>CRB3</v>
      </c>
      <c r="E160" s="16">
        <v>-2.4056616555811401E-3</v>
      </c>
      <c r="F160" s="17">
        <v>1</v>
      </c>
    </row>
    <row r="161" spans="1:6" ht="60" customHeight="1" x14ac:dyDescent="0.25">
      <c r="A161" s="27">
        <v>158</v>
      </c>
      <c r="B161" s="28" t="s">
        <v>194</v>
      </c>
      <c r="C161" s="19" t="str">
        <f>HYPERLINK("https://portal.genego.com/cgi/entity_page.cgi?term=100&amp;id=160","CREB1")</f>
        <v>CREB1</v>
      </c>
      <c r="D161" s="19" t="str">
        <f>HYPERLINK("https://portal.genego.com/cgi/entity_page.cgi?term=20&amp;id=1095298105","CREB1")</f>
        <v>CREB1</v>
      </c>
      <c r="E161" s="8">
        <v>3.0097525036458898E-2</v>
      </c>
      <c r="F161" s="17">
        <v>0.88043419999999994</v>
      </c>
    </row>
    <row r="162" spans="1:6" ht="60" customHeight="1" x14ac:dyDescent="0.25">
      <c r="A162" s="27">
        <v>159</v>
      </c>
      <c r="B162" s="28" t="s">
        <v>195</v>
      </c>
      <c r="C162" s="19" t="str">
        <f>HYPERLINK("https://portal.genego.com/cgi/entity_page.cgi?term=100&amp;id=163","CRK")</f>
        <v>CRK</v>
      </c>
      <c r="D162" s="19" t="str">
        <f>HYPERLINK("https://portal.genego.com/cgi/entity_page.cgi?term=20&amp;id=-47033354","CRK")</f>
        <v>CRK</v>
      </c>
      <c r="E162" s="7">
        <v>0.20739946575645801</v>
      </c>
      <c r="F162" s="17">
        <v>0.2390948</v>
      </c>
    </row>
    <row r="163" spans="1:6" ht="60" customHeight="1" x14ac:dyDescent="0.25">
      <c r="A163" s="27">
        <v>160</v>
      </c>
      <c r="B163" s="28" t="s">
        <v>196</v>
      </c>
      <c r="C163" s="19" t="str">
        <f>HYPERLINK("https://portal.genego.com/cgi/entity_page.cgi?term=100&amp;id=165","CRM1")</f>
        <v>CRM1</v>
      </c>
      <c r="D163" s="19" t="str">
        <f>HYPERLINK("https://portal.genego.com/cgi/entity_page.cgi?term=20&amp;id=-178645861","XPO1")</f>
        <v>XPO1</v>
      </c>
      <c r="E163" s="16">
        <v>-4.5192848660469499E-2</v>
      </c>
      <c r="F163" s="17">
        <v>0.81804639999999995</v>
      </c>
    </row>
    <row r="164" spans="1:6" ht="60" customHeight="1" x14ac:dyDescent="0.25">
      <c r="A164" s="27">
        <v>161</v>
      </c>
      <c r="B164" s="28" t="s">
        <v>197</v>
      </c>
      <c r="C164" s="19" t="str">
        <f>HYPERLINK("https://portal.genego.com/cgi/entity_page.cgi?term=100&amp;id=-54946299","CSE1L")</f>
        <v>CSE1L</v>
      </c>
      <c r="D164" s="19" t="str">
        <f>HYPERLINK("https://portal.genego.com/cgi/entity_page.cgi?term=20&amp;id=-2086057405","CSE1L")</f>
        <v>CSE1L</v>
      </c>
      <c r="E164" s="16">
        <v>-3.3681610382850398E-2</v>
      </c>
      <c r="F164" s="17">
        <v>0.85878390000000004</v>
      </c>
    </row>
    <row r="165" spans="1:6" ht="60" customHeight="1" x14ac:dyDescent="0.25">
      <c r="A165" s="27">
        <v>162</v>
      </c>
      <c r="B165" s="28" t="s">
        <v>198</v>
      </c>
      <c r="C165" s="19" t="str">
        <f>HYPERLINK("https://portal.genego.com/cgi/entity_page.cgi?term=100&amp;id=-1445190569","CTMP")</f>
        <v>CTMP</v>
      </c>
      <c r="D165" s="19" t="str">
        <f>HYPERLINK("https://portal.genego.com/cgi/entity_page.cgi?term=20&amp;id=-1845384846","THEM4")</f>
        <v>THEM4</v>
      </c>
      <c r="E165" s="7">
        <v>0.27612621897733602</v>
      </c>
      <c r="F165" s="17">
        <v>0.1132761</v>
      </c>
    </row>
    <row r="166" spans="1:6" ht="60" customHeight="1" x14ac:dyDescent="0.25">
      <c r="A166" s="27">
        <v>163</v>
      </c>
      <c r="B166" s="28" t="s">
        <v>199</v>
      </c>
      <c r="C166" s="19" t="str">
        <f>HYPERLINK("https://portal.genego.com/cgi/entity_page.cgi?term=100&amp;id=169","CXCR4")</f>
        <v>CXCR4</v>
      </c>
      <c r="D166" s="19" t="str">
        <f>HYPERLINK("https://portal.genego.com/cgi/entity_page.cgi?term=20&amp;id=1804454976","CXCR4")</f>
        <v>CXCR4</v>
      </c>
      <c r="E166" s="8">
        <v>1.9326712712656498E-5</v>
      </c>
      <c r="F166" s="17">
        <v>1</v>
      </c>
    </row>
    <row r="167" spans="1:6" ht="60" customHeight="1" x14ac:dyDescent="0.25">
      <c r="A167" s="27">
        <v>164</v>
      </c>
      <c r="B167" s="28" t="s">
        <v>200</v>
      </c>
      <c r="C167" s="19" t="str">
        <f>HYPERLINK("https://portal.genego.com/cgi/entity_page.cgi?term=100&amp;id=-224045173","CYP2E1")</f>
        <v>CYP2E1</v>
      </c>
      <c r="D167" s="19" t="str">
        <f>HYPERLINK("https://portal.genego.com/cgi/entity_page.cgi?term=20&amp;id=-1565134962","CYP2E1")</f>
        <v>CYP2E1</v>
      </c>
      <c r="E167" s="16">
        <v>-3.2616813645919403E-2</v>
      </c>
      <c r="F167" s="17">
        <v>0.83691210000000005</v>
      </c>
    </row>
    <row r="168" spans="1:6" ht="60" customHeight="1" x14ac:dyDescent="0.25">
      <c r="A168" s="27">
        <v>165</v>
      </c>
      <c r="B168" s="28" t="s">
        <v>201</v>
      </c>
      <c r="C168" s="19" t="str">
        <f>HYPERLINK("https://portal.genego.com/cgi/entity_page.cgi?term=100&amp;id=-1083489442","CaMK II delta")</f>
        <v>CaMK II delta</v>
      </c>
      <c r="D168" s="19" t="str">
        <f>HYPERLINK("https://portal.genego.com/cgi/entity_page.cgi?term=20&amp;id=1080134927","CAMK2D")</f>
        <v>CAMK2D</v>
      </c>
      <c r="E168" s="7">
        <v>0.16881344262244499</v>
      </c>
      <c r="F168" s="17">
        <v>0.3377502</v>
      </c>
    </row>
    <row r="169" spans="1:6" ht="60" customHeight="1" x14ac:dyDescent="0.25">
      <c r="A169" s="27">
        <v>166</v>
      </c>
      <c r="B169" s="28" t="s">
        <v>202</v>
      </c>
      <c r="C169" s="19" t="str">
        <f>HYPERLINK("https://portal.genego.com/cgi/entity_page.cgi?term=100&amp;id=316","CalDAG-GEFII")</f>
        <v>CalDAG-GEFII</v>
      </c>
      <c r="D169" s="19" t="str">
        <f>HYPERLINK("https://portal.genego.com/cgi/entity_page.cgi?term=20&amp;id=-439952567","RASGRP1")</f>
        <v>RASGRP1</v>
      </c>
      <c r="E169" s="8">
        <v>1.6934737223273599E-2</v>
      </c>
      <c r="F169" s="17">
        <v>1</v>
      </c>
    </row>
    <row r="170" spans="1:6" ht="60" customHeight="1" x14ac:dyDescent="0.25">
      <c r="A170" s="27">
        <v>167</v>
      </c>
      <c r="B170" s="28" t="s">
        <v>203</v>
      </c>
      <c r="C170" s="19" t="str">
        <f>HYPERLINK("https://portal.genego.com/cgi/entity_page.cgi?term=100&amp;id=903","Calmodulin")</f>
        <v>Calmodulin</v>
      </c>
      <c r="D170" s="19" t="str">
        <f>HYPERLINK("https://portal.genego.com/cgi/entity_page.cgi?term=20&amp;id=1248800935","CALM1")</f>
        <v>CALM1</v>
      </c>
      <c r="E170" s="7">
        <v>0.18237822907312701</v>
      </c>
      <c r="F170" s="17">
        <v>0.23338</v>
      </c>
    </row>
    <row r="171" spans="1:6" ht="60" customHeight="1" x14ac:dyDescent="0.25">
      <c r="A171" s="27">
        <v>168</v>
      </c>
      <c r="B171" s="28" t="s">
        <v>204</v>
      </c>
      <c r="C171" s="19" t="str">
        <f>HYPERLINK("https://portal.genego.com/cgi/entity_page.cgi?term=100&amp;id=903","Calmodulin")</f>
        <v>Calmodulin</v>
      </c>
      <c r="D171" s="19" t="str">
        <f>HYPERLINK("https://portal.genego.com/cgi/entity_page.cgi?term=20&amp;id=-1951082598","CALM2")</f>
        <v>CALM2</v>
      </c>
      <c r="E171" s="15">
        <v>-0.116368327269729</v>
      </c>
      <c r="F171" s="17">
        <v>0.47544409999999998</v>
      </c>
    </row>
    <row r="172" spans="1:6" ht="60" customHeight="1" x14ac:dyDescent="0.25">
      <c r="A172" s="27">
        <v>169</v>
      </c>
      <c r="B172" s="28" t="s">
        <v>205</v>
      </c>
      <c r="C172" s="19" t="str">
        <f>HYPERLINK("https://portal.genego.com/cgi/entity_page.cgi?term=100&amp;id=903","Calmodulin")</f>
        <v>Calmodulin</v>
      </c>
      <c r="D172" s="19" t="str">
        <f>HYPERLINK("https://portal.genego.com/cgi/entity_page.cgi?term=20&amp;id=1273228656","CALM3")</f>
        <v>CALM3</v>
      </c>
      <c r="E172" s="15">
        <v>-0.232106419047373</v>
      </c>
      <c r="F172" s="17">
        <v>0.12712950000000001</v>
      </c>
    </row>
    <row r="173" spans="1:6" ht="60" customHeight="1" x14ac:dyDescent="0.25">
      <c r="A173" s="27">
        <v>170</v>
      </c>
      <c r="B173" s="28" t="s">
        <v>206</v>
      </c>
      <c r="C173" s="19" t="str">
        <f>HYPERLINK("https://portal.genego.com/cgi/entity_page.cgi?term=100&amp;id=-1394991996","Calpain 1(mu)")</f>
        <v>Calpain 1(mu)</v>
      </c>
      <c r="D173" s="19" t="str">
        <f>HYPERLINK("https://portal.genego.com/cgi/entity_page.cgi?term=20&amp;id=9163317","CAPN1")</f>
        <v>CAPN1</v>
      </c>
      <c r="E173" s="15">
        <v>-0.189391879082633</v>
      </c>
      <c r="F173" s="17">
        <v>0.22668540000000001</v>
      </c>
    </row>
    <row r="174" spans="1:6" ht="60" customHeight="1" x14ac:dyDescent="0.25">
      <c r="A174" s="27">
        <v>171</v>
      </c>
      <c r="B174" s="28" t="s">
        <v>207</v>
      </c>
      <c r="C174" s="19" t="str">
        <f>HYPERLINK("https://portal.genego.com/cgi/entity_page.cgi?term=100&amp;id=9150","Calpain 2(m)")</f>
        <v>Calpain 2(m)</v>
      </c>
      <c r="D174" s="19" t="str">
        <f>HYPERLINK("https://portal.genego.com/cgi/entity_page.cgi?term=20&amp;id=-117967965","CAPN2")</f>
        <v>CAPN2</v>
      </c>
      <c r="E174" s="8">
        <v>7.7203779132527697E-2</v>
      </c>
      <c r="F174" s="17">
        <v>0.59276510000000004</v>
      </c>
    </row>
    <row r="175" spans="1:6" ht="60" customHeight="1" x14ac:dyDescent="0.25">
      <c r="A175" s="27">
        <v>172</v>
      </c>
      <c r="B175" s="28" t="s">
        <v>208</v>
      </c>
      <c r="C175" s="19" t="str">
        <f>HYPERLINK("https://portal.genego.com/cgi/entity_page.cgi?term=100&amp;id=-529201485","Casein kinase I delta")</f>
        <v>Casein kinase I delta</v>
      </c>
      <c r="D175" s="19" t="str">
        <f>HYPERLINK("https://portal.genego.com/cgi/entity_page.cgi?term=20&amp;id=-880805314","CSNK1D")</f>
        <v>CSNK1D</v>
      </c>
      <c r="E175" s="16">
        <v>-1.29472266299383E-2</v>
      </c>
      <c r="F175" s="17">
        <v>0.94858969999999998</v>
      </c>
    </row>
    <row r="176" spans="1:6" ht="60" customHeight="1" x14ac:dyDescent="0.25">
      <c r="A176" s="27">
        <v>173</v>
      </c>
      <c r="B176" s="28" t="s">
        <v>209</v>
      </c>
      <c r="C176" s="19" t="str">
        <f>HYPERLINK("https://portal.genego.com/cgi/entity_page.cgi?term=100&amp;id=-1592113337","Casein kinase I epsilon")</f>
        <v>Casein kinase I epsilon</v>
      </c>
      <c r="D176" s="19" t="str">
        <f>HYPERLINK("https://portal.genego.com/cgi/entity_page.cgi?term=20&amp;id=415154245","CSNK1E")</f>
        <v>CSNK1E</v>
      </c>
      <c r="E176" s="8">
        <v>6.7837448131213198E-3</v>
      </c>
      <c r="F176" s="17">
        <v>0.97252479999999997</v>
      </c>
    </row>
    <row r="177" spans="1:6" ht="60" customHeight="1" x14ac:dyDescent="0.25">
      <c r="A177" s="27">
        <v>174</v>
      </c>
      <c r="B177" s="28"/>
      <c r="C177" s="19" t="str">
        <f>HYPERLINK("https://portal.genego.com/cgi/entity_page.cgi?term=100&amp;id=-1592113337","Casein kinase I epsilon")</f>
        <v>Casein kinase I epsilon</v>
      </c>
      <c r="D177" s="19" t="str">
        <f>HYPERLINK("https://portal.genego.com/cgi/entity_page.cgi?term=20&amp;id=-1512692191","TPTEP2-CSNK1E")</f>
        <v>TPTEP2-CSNK1E</v>
      </c>
      <c r="E177" s="18"/>
      <c r="F177" s="17"/>
    </row>
    <row r="178" spans="1:6" ht="60" customHeight="1" x14ac:dyDescent="0.25">
      <c r="A178" s="27">
        <v>175</v>
      </c>
      <c r="B178" s="28" t="s">
        <v>210</v>
      </c>
      <c r="C178" s="19" t="str">
        <f>HYPERLINK("https://portal.genego.com/cgi/entity_page.cgi?term=100&amp;id=-1846507223","Casein kinase II, beta chain (Phosvitin)")</f>
        <v>Casein kinase II, beta chain (Phosvitin)</v>
      </c>
      <c r="D178" s="19" t="str">
        <f>HYPERLINK("https://portal.genego.com/cgi/entity_page.cgi?term=20&amp;id=491501093","CSNK2B")</f>
        <v>CSNK2B</v>
      </c>
      <c r="E178" s="16">
        <v>-5.6830330735944297E-2</v>
      </c>
      <c r="F178" s="17">
        <v>0.7706035</v>
      </c>
    </row>
    <row r="179" spans="1:6" ht="60" customHeight="1" x14ac:dyDescent="0.25">
      <c r="A179" s="27">
        <v>176</v>
      </c>
      <c r="B179" s="28" t="s">
        <v>211</v>
      </c>
      <c r="C179" s="19" t="str">
        <f>HYPERLINK("https://portal.genego.com/cgi/entity_page.cgi?term=100&amp;id=370","Caspase-1")</f>
        <v>Caspase-1</v>
      </c>
      <c r="D179" s="19" t="str">
        <f>HYPERLINK("https://portal.genego.com/cgi/entity_page.cgi?term=20&amp;id=-946970453","CASP1")</f>
        <v>CASP1</v>
      </c>
      <c r="E179" s="13">
        <v>-0.60374313466995899</v>
      </c>
      <c r="F179" s="17">
        <v>6.0497570000000002E-3</v>
      </c>
    </row>
    <row r="180" spans="1:6" ht="60" customHeight="1" x14ac:dyDescent="0.25">
      <c r="A180" s="27">
        <v>177</v>
      </c>
      <c r="B180" s="28" t="s">
        <v>212</v>
      </c>
      <c r="C180" s="19" t="str">
        <f>HYPERLINK("https://portal.genego.com/cgi/entity_page.cgi?term=100&amp;id=2216","Caspase-2")</f>
        <v>Caspase-2</v>
      </c>
      <c r="D180" s="19" t="str">
        <f>HYPERLINK("https://portal.genego.com/cgi/entity_page.cgi?term=20&amp;id=29354825","CASP2")</f>
        <v>CASP2</v>
      </c>
      <c r="E180" s="7">
        <v>0.17046178196612899</v>
      </c>
      <c r="F180" s="17">
        <v>0.27657100000000001</v>
      </c>
    </row>
    <row r="181" spans="1:6" ht="60" customHeight="1" x14ac:dyDescent="0.25">
      <c r="A181" s="27">
        <v>178</v>
      </c>
      <c r="B181" s="28" t="s">
        <v>213</v>
      </c>
      <c r="C181" s="19" t="str">
        <f>HYPERLINK("https://portal.genego.com/cgi/entity_page.cgi?term=100&amp;id=912","Caspase-3")</f>
        <v>Caspase-3</v>
      </c>
      <c r="D181" s="19" t="str">
        <f>HYPERLINK("https://portal.genego.com/cgi/entity_page.cgi?term=20&amp;id=1676776145","CASP3")</f>
        <v>CASP3</v>
      </c>
      <c r="E181" s="7">
        <v>0.137589520960165</v>
      </c>
      <c r="F181" s="17">
        <v>0.37530619999999998</v>
      </c>
    </row>
    <row r="182" spans="1:6" ht="60" customHeight="1" x14ac:dyDescent="0.25">
      <c r="A182" s="27">
        <v>179</v>
      </c>
      <c r="B182" s="28" t="s">
        <v>214</v>
      </c>
      <c r="C182" s="19" t="str">
        <f>HYPERLINK("https://portal.genego.com/cgi/entity_page.cgi?term=100&amp;id=913","Caspase-7")</f>
        <v>Caspase-7</v>
      </c>
      <c r="D182" s="19" t="str">
        <f>HYPERLINK("https://portal.genego.com/cgi/entity_page.cgi?term=20&amp;id=-1942811761","CASP7")</f>
        <v>CASP7</v>
      </c>
      <c r="E182" s="7">
        <v>0.13608357704409799</v>
      </c>
      <c r="F182" s="17">
        <v>0.44632359999999999</v>
      </c>
    </row>
    <row r="183" spans="1:6" ht="60" customHeight="1" x14ac:dyDescent="0.25">
      <c r="A183" s="27">
        <v>180</v>
      </c>
      <c r="B183" s="28" t="s">
        <v>215</v>
      </c>
      <c r="C183" s="19" t="str">
        <f>HYPERLINK("https://portal.genego.com/cgi/entity_page.cgi?term=100&amp;id=914","Caspase-8")</f>
        <v>Caspase-8</v>
      </c>
      <c r="D183" s="19" t="str">
        <f>HYPERLINK("https://portal.genego.com/cgi/entity_page.cgi?term=20&amp;id=1364473666","CASP8")</f>
        <v>CASP8</v>
      </c>
      <c r="E183" s="8">
        <v>6.5061314805888004E-2</v>
      </c>
      <c r="F183" s="17">
        <v>0.7288346</v>
      </c>
    </row>
    <row r="184" spans="1:6" ht="60" customHeight="1" x14ac:dyDescent="0.25">
      <c r="A184" s="27">
        <v>181</v>
      </c>
      <c r="B184" s="28" t="s">
        <v>216</v>
      </c>
      <c r="C184" s="19" t="str">
        <f>HYPERLINK("https://portal.genego.com/cgi/entity_page.cgi?term=100&amp;id=915","Caspase-9")</f>
        <v>Caspase-9</v>
      </c>
      <c r="D184" s="19" t="str">
        <f>HYPERLINK("https://portal.genego.com/cgi/entity_page.cgi?term=20&amp;id=1353728554","CASP9")</f>
        <v>CASP9</v>
      </c>
      <c r="E184" s="8">
        <v>5.4088755308385299E-2</v>
      </c>
      <c r="F184" s="17">
        <v>0.77981250000000002</v>
      </c>
    </row>
    <row r="185" spans="1:6" ht="60" customHeight="1" x14ac:dyDescent="0.25">
      <c r="A185" s="27">
        <v>182</v>
      </c>
      <c r="B185" s="28" t="s">
        <v>217</v>
      </c>
      <c r="C185" s="19" t="str">
        <f>HYPERLINK("https://portal.genego.com/cgi/entity_page.cgi?term=100&amp;id=-10171350","Catalase")</f>
        <v>Catalase</v>
      </c>
      <c r="D185" s="19" t="str">
        <f>HYPERLINK("https://portal.genego.com/cgi/entity_page.cgi?term=20&amp;id=-874561349","CAT")</f>
        <v>CAT</v>
      </c>
      <c r="E185" s="8">
        <v>1.6210774806953699E-2</v>
      </c>
      <c r="F185" s="17">
        <v>0.93626759999999998</v>
      </c>
    </row>
    <row r="186" spans="1:6" ht="60" customHeight="1" x14ac:dyDescent="0.25">
      <c r="A186" s="27">
        <v>183</v>
      </c>
      <c r="B186" s="28" t="s">
        <v>218</v>
      </c>
      <c r="C186" s="19" t="str">
        <f>HYPERLINK("https://portal.genego.com/cgi/entity_page.cgi?term=100&amp;id=4615","Cathepsin D")</f>
        <v>Cathepsin D</v>
      </c>
      <c r="D186" s="19" t="str">
        <f>HYPERLINK("https://portal.genego.com/cgi/entity_page.cgi?term=20&amp;id=1697927775","CTSD")</f>
        <v>CTSD</v>
      </c>
      <c r="E186" s="13">
        <v>-0.54710410204719695</v>
      </c>
      <c r="F186" s="17">
        <v>7.0327880000000005E-4</v>
      </c>
    </row>
    <row r="187" spans="1:6" ht="60" customHeight="1" x14ac:dyDescent="0.25">
      <c r="A187" s="27">
        <v>184</v>
      </c>
      <c r="B187" s="28" t="s">
        <v>219</v>
      </c>
      <c r="C187" s="19" t="str">
        <f>HYPERLINK("https://portal.genego.com/cgi/entity_page.cgi?term=100&amp;id=-1602081789","Cdt1")</f>
        <v>Cdt1</v>
      </c>
      <c r="D187" s="19" t="str">
        <f>HYPERLINK("https://portal.genego.com/cgi/entity_page.cgi?term=20&amp;id=-1296211384","CDT1")</f>
        <v>CDT1</v>
      </c>
      <c r="E187" s="13">
        <v>-0.46869136724439697</v>
      </c>
      <c r="F187" s="17">
        <v>2.1503789999999998E-2</v>
      </c>
    </row>
    <row r="188" spans="1:6" ht="60" customHeight="1" x14ac:dyDescent="0.25">
      <c r="A188" s="27">
        <v>185</v>
      </c>
      <c r="B188" s="28" t="s">
        <v>220</v>
      </c>
      <c r="C188" s="19" t="str">
        <f>HYPERLINK("https://portal.genego.com/cgi/entity_page.cgi?term=100&amp;id=6254","Chk1")</f>
        <v>Chk1</v>
      </c>
      <c r="D188" s="19" t="str">
        <f>HYPERLINK("https://portal.genego.com/cgi/entity_page.cgi?term=20&amp;id=726067678","CHEK1")</f>
        <v>CHEK1</v>
      </c>
      <c r="E188" s="15">
        <v>-0.19061744967479599</v>
      </c>
      <c r="F188" s="17">
        <v>0.2864816</v>
      </c>
    </row>
    <row r="189" spans="1:6" ht="60" customHeight="1" x14ac:dyDescent="0.25">
      <c r="A189" s="27">
        <v>186</v>
      </c>
      <c r="B189" s="28" t="s">
        <v>221</v>
      </c>
      <c r="C189" s="19" t="str">
        <f>HYPERLINK("https://portal.genego.com/cgi/entity_page.cgi?term=100&amp;id=-1234157537","Chk2")</f>
        <v>Chk2</v>
      </c>
      <c r="D189" s="19" t="str">
        <f>HYPERLINK("https://portal.genego.com/cgi/entity_page.cgi?term=20&amp;id=446117774","CHEK2")</f>
        <v>CHEK2</v>
      </c>
      <c r="E189" s="16">
        <v>-8.8657312895030593E-2</v>
      </c>
      <c r="F189" s="17">
        <v>0.61678580000000005</v>
      </c>
    </row>
    <row r="190" spans="1:6" ht="60" customHeight="1" x14ac:dyDescent="0.25">
      <c r="A190" s="27">
        <v>187</v>
      </c>
      <c r="B190" s="28" t="s">
        <v>222</v>
      </c>
      <c r="C190" s="19" t="str">
        <f>HYPERLINK("https://portal.genego.com/cgi/entity_page.cgi?term=100&amp;id=2857","Citron")</f>
        <v>Citron</v>
      </c>
      <c r="D190" s="19" t="str">
        <f>HYPERLINK("https://portal.genego.com/cgi/entity_page.cgi?term=20&amp;id=2057299873","CIT")</f>
        <v>CIT</v>
      </c>
      <c r="E190" s="14">
        <v>-0.33204278372692902</v>
      </c>
      <c r="F190" s="17">
        <v>0.12509000000000001</v>
      </c>
    </row>
    <row r="191" spans="1:6" ht="60" customHeight="1" x14ac:dyDescent="0.25">
      <c r="A191" s="27">
        <v>188</v>
      </c>
      <c r="B191" s="28" t="s">
        <v>223</v>
      </c>
      <c r="C191" s="19" t="str">
        <f>HYPERLINK("https://portal.genego.com/cgi/entity_page.cgi?term=100&amp;id=-1354451272","Claspin")</f>
        <v>Claspin</v>
      </c>
      <c r="D191" s="19" t="str">
        <f>HYPERLINK("https://portal.genego.com/cgi/entity_page.cgi?term=20&amp;id=1152778977","CLSPN")</f>
        <v>CLSPN</v>
      </c>
      <c r="E191" s="16">
        <v>-3.2204240004549897E-2</v>
      </c>
      <c r="F191" s="17">
        <v>0.87013249999999998</v>
      </c>
    </row>
    <row r="192" spans="1:6" ht="60" customHeight="1" x14ac:dyDescent="0.25">
      <c r="A192" s="27">
        <v>189</v>
      </c>
      <c r="B192" s="28" t="s">
        <v>224</v>
      </c>
      <c r="C192" s="19" t="str">
        <f>HYPERLINK("https://portal.genego.com/cgi/entity_page.cgi?term=100&amp;id=6337","Claudin-2")</f>
        <v>Claudin-2</v>
      </c>
      <c r="D192" s="19" t="str">
        <f>HYPERLINK("https://portal.genego.com/cgi/entity_page.cgi?term=20&amp;id=-21458768","CLDN2")</f>
        <v>CLDN2</v>
      </c>
      <c r="E192" s="16">
        <v>-1.2960310624835001E-2</v>
      </c>
      <c r="F192" s="17">
        <v>0.93188280000000001</v>
      </c>
    </row>
    <row r="193" spans="1:6" ht="60" customHeight="1" x14ac:dyDescent="0.25">
      <c r="A193" s="27">
        <v>190</v>
      </c>
      <c r="B193" s="28" t="s">
        <v>225</v>
      </c>
      <c r="C193" s="19" t="str">
        <f>HYPERLINK("https://portal.genego.com/cgi/entity_page.cgi?term=100&amp;id=6355","Connexin 43")</f>
        <v>Connexin 43</v>
      </c>
      <c r="D193" s="19" t="str">
        <f>HYPERLINK("https://portal.genego.com/cgi/entity_page.cgi?term=20&amp;id=-1148678038","GJA1")</f>
        <v>GJA1</v>
      </c>
      <c r="E193" s="16">
        <v>-5.19460711455626E-2</v>
      </c>
      <c r="F193" s="17">
        <v>0.77455949999999996</v>
      </c>
    </row>
    <row r="194" spans="1:6" ht="60" customHeight="1" x14ac:dyDescent="0.25">
      <c r="A194" s="27">
        <v>191</v>
      </c>
      <c r="B194" s="28" t="s">
        <v>226</v>
      </c>
      <c r="C194" s="19" t="str">
        <f>HYPERLINK("https://portal.genego.com/cgi/entity_page.cgi?term=100&amp;id=193","CrkL")</f>
        <v>CrkL</v>
      </c>
      <c r="D194" s="19" t="str">
        <f>HYPERLINK("https://portal.genego.com/cgi/entity_page.cgi?term=20&amp;id=-199411280","CRKL")</f>
        <v>CRKL</v>
      </c>
      <c r="E194" s="7">
        <v>0.14020970862378701</v>
      </c>
      <c r="F194" s="17">
        <v>0.38822010000000001</v>
      </c>
    </row>
    <row r="195" spans="1:6" ht="60" customHeight="1" x14ac:dyDescent="0.25">
      <c r="A195" s="27">
        <v>192</v>
      </c>
      <c r="B195" s="28" t="s">
        <v>227</v>
      </c>
      <c r="C195" s="19" t="str">
        <f>HYPERLINK("https://portal.genego.com/cgi/entity_page.cgi?term=100&amp;id=2915","Cullin 1")</f>
        <v>Cullin 1</v>
      </c>
      <c r="D195" s="19" t="str">
        <f>HYPERLINK("https://portal.genego.com/cgi/entity_page.cgi?term=20&amp;id=-226733716","CUL1")</f>
        <v>CUL1</v>
      </c>
      <c r="E195" s="16">
        <v>-3.6789049328221302E-2</v>
      </c>
      <c r="F195" s="17">
        <v>0.84414279999999997</v>
      </c>
    </row>
    <row r="196" spans="1:6" ht="60" customHeight="1" x14ac:dyDescent="0.25">
      <c r="A196" s="27">
        <v>193</v>
      </c>
      <c r="B196" s="28" t="s">
        <v>228</v>
      </c>
      <c r="C196" s="19" t="str">
        <f>HYPERLINK("https://portal.genego.com/cgi/entity_page.cgi?term=100&amp;id=168","Cullin 2")</f>
        <v>Cullin 2</v>
      </c>
      <c r="D196" s="19" t="str">
        <f>HYPERLINK("https://portal.genego.com/cgi/entity_page.cgi?term=20&amp;id=-1926913857","CUL2")</f>
        <v>CUL2</v>
      </c>
      <c r="E196" s="8">
        <v>6.22071891771332E-2</v>
      </c>
      <c r="F196" s="17">
        <v>0.75028919999999999</v>
      </c>
    </row>
    <row r="197" spans="1:6" ht="60" customHeight="1" x14ac:dyDescent="0.25">
      <c r="A197" s="27">
        <v>194</v>
      </c>
      <c r="B197" s="28" t="s">
        <v>229</v>
      </c>
      <c r="C197" s="19" t="str">
        <f>HYPERLINK("https://portal.genego.com/cgi/entity_page.cgi?term=100&amp;id=-1509922773","Cullin 3")</f>
        <v>Cullin 3</v>
      </c>
      <c r="D197" s="19" t="str">
        <f>HYPERLINK("https://portal.genego.com/cgi/entity_page.cgi?term=20&amp;id=1722074331","CUL3")</f>
        <v>CUL3</v>
      </c>
      <c r="E197" s="16">
        <v>-3.2799892406715103E-2</v>
      </c>
      <c r="F197" s="17">
        <v>0.85795840000000001</v>
      </c>
    </row>
    <row r="198" spans="1:6" ht="60" customHeight="1" x14ac:dyDescent="0.25">
      <c r="A198" s="27">
        <v>195</v>
      </c>
      <c r="B198" s="28" t="s">
        <v>230</v>
      </c>
      <c r="C198" s="19" t="str">
        <f>HYPERLINK("https://portal.genego.com/cgi/entity_page.cgi?term=100&amp;id=4515","Cyclin A1")</f>
        <v>Cyclin A1</v>
      </c>
      <c r="D198" s="19" t="str">
        <f>HYPERLINK("https://portal.genego.com/cgi/entity_page.cgi?term=20&amp;id=-590396299","CCNA1")</f>
        <v>CCNA1</v>
      </c>
      <c r="E198" s="8">
        <v>1.9232151379670701E-3</v>
      </c>
      <c r="F198" s="17">
        <v>1</v>
      </c>
    </row>
    <row r="199" spans="1:6" ht="60" customHeight="1" x14ac:dyDescent="0.25">
      <c r="A199" s="27">
        <v>196</v>
      </c>
      <c r="B199" s="28" t="s">
        <v>231</v>
      </c>
      <c r="C199" s="19" t="str">
        <f>HYPERLINK("https://portal.genego.com/cgi/entity_page.cgi?term=100&amp;id=2265","Cyclin A2")</f>
        <v>Cyclin A2</v>
      </c>
      <c r="D199" s="19" t="str">
        <f>HYPERLINK("https://portal.genego.com/cgi/entity_page.cgi?term=20&amp;id=666340095","CCNA2")</f>
        <v>CCNA2</v>
      </c>
      <c r="E199" s="13">
        <v>-0.57570324117312499</v>
      </c>
      <c r="F199" s="17">
        <v>1.8535519999999999E-4</v>
      </c>
    </row>
    <row r="200" spans="1:6" ht="60" customHeight="1" x14ac:dyDescent="0.25">
      <c r="A200" s="27">
        <v>197</v>
      </c>
      <c r="B200" s="28" t="s">
        <v>232</v>
      </c>
      <c r="C200" s="19" t="str">
        <f>HYPERLINK("https://portal.genego.com/cgi/entity_page.cgi?term=100&amp;id=-145039663","Cyclin B1")</f>
        <v>Cyclin B1</v>
      </c>
      <c r="D200" s="19" t="str">
        <f>HYPERLINK("https://portal.genego.com/cgi/entity_page.cgi?term=20&amp;id=280755997","CCNB1")</f>
        <v>CCNB1</v>
      </c>
      <c r="E200" s="12">
        <v>-0.66823527616807699</v>
      </c>
      <c r="F200" s="17">
        <v>2.5627899999999999E-5</v>
      </c>
    </row>
    <row r="201" spans="1:6" ht="60" customHeight="1" x14ac:dyDescent="0.25">
      <c r="A201" s="27">
        <v>198</v>
      </c>
      <c r="B201" s="28" t="s">
        <v>233</v>
      </c>
      <c r="C201" s="19" t="str">
        <f>HYPERLINK("https://portal.genego.com/cgi/entity_page.cgi?term=100&amp;id=6060","Cyclin B2")</f>
        <v>Cyclin B2</v>
      </c>
      <c r="D201" s="19" t="str">
        <f>HYPERLINK("https://portal.genego.com/cgi/entity_page.cgi?term=20&amp;id=-565056136","CCNB2")</f>
        <v>CCNB2</v>
      </c>
      <c r="E201" s="10">
        <v>-1.0200881333918399</v>
      </c>
      <c r="F201" s="17">
        <v>2.0400899999999999E-10</v>
      </c>
    </row>
    <row r="202" spans="1:6" ht="60" customHeight="1" x14ac:dyDescent="0.25">
      <c r="A202" s="27">
        <v>199</v>
      </c>
      <c r="B202" s="28" t="s">
        <v>234</v>
      </c>
      <c r="C202" s="19" t="str">
        <f>HYPERLINK("https://portal.genego.com/cgi/entity_page.cgi?term=100&amp;id=6005","Cyclin D1")</f>
        <v>Cyclin D1</v>
      </c>
      <c r="D202" s="19" t="str">
        <f>HYPERLINK("https://portal.genego.com/cgi/entity_page.cgi?term=20&amp;id=-841303359","CCND1")</f>
        <v>CCND1</v>
      </c>
      <c r="E202" s="6">
        <v>0.44835272695259598</v>
      </c>
      <c r="F202" s="17">
        <v>4.921843E-4</v>
      </c>
    </row>
    <row r="203" spans="1:6" ht="60" customHeight="1" x14ac:dyDescent="0.25">
      <c r="A203" s="27">
        <v>200</v>
      </c>
      <c r="B203" s="28" t="s">
        <v>235</v>
      </c>
      <c r="C203" s="19" t="str">
        <f>HYPERLINK("https://portal.genego.com/cgi/entity_page.cgi?term=100&amp;id=6028","Cyclin D2")</f>
        <v>Cyclin D2</v>
      </c>
      <c r="D203" s="19" t="str">
        <f>HYPERLINK("https://portal.genego.com/cgi/entity_page.cgi?term=20&amp;id=-1978108791","CCND2")</f>
        <v>CCND2</v>
      </c>
      <c r="E203" s="5">
        <v>0.777531729904406</v>
      </c>
      <c r="F203" s="17">
        <v>4.9685050000000003E-6</v>
      </c>
    </row>
    <row r="204" spans="1:6" ht="60" customHeight="1" x14ac:dyDescent="0.25">
      <c r="A204" s="27">
        <v>201</v>
      </c>
      <c r="B204" s="28" t="s">
        <v>236</v>
      </c>
      <c r="C204" s="19" t="str">
        <f>HYPERLINK("https://portal.genego.com/cgi/entity_page.cgi?term=100&amp;id=6074","Cyclin D3")</f>
        <v>Cyclin D3</v>
      </c>
      <c r="D204" s="19" t="str">
        <f>HYPERLINK("https://portal.genego.com/cgi/entity_page.cgi?term=20&amp;id=148280906","CCND3")</f>
        <v>CCND3</v>
      </c>
      <c r="E204" s="7">
        <v>0.33271205794632103</v>
      </c>
      <c r="F204" s="17">
        <v>5.0603219999999997E-2</v>
      </c>
    </row>
    <row r="205" spans="1:6" ht="60" customHeight="1" x14ac:dyDescent="0.25">
      <c r="A205" s="27">
        <v>202</v>
      </c>
      <c r="B205" s="28" t="s">
        <v>237</v>
      </c>
      <c r="C205" s="19" t="str">
        <f>HYPERLINK("https://portal.genego.com/cgi/entity_page.cgi?term=100&amp;id=931","Cyclin E")</f>
        <v>Cyclin E</v>
      </c>
      <c r="D205" s="19" t="str">
        <f>HYPERLINK("https://portal.genego.com/cgi/entity_page.cgi?term=20&amp;id=-1478920378","CCNE1")</f>
        <v>CCNE1</v>
      </c>
      <c r="E205" s="7">
        <v>0.229938448184273</v>
      </c>
      <c r="F205" s="17">
        <v>0.23970839999999999</v>
      </c>
    </row>
    <row r="206" spans="1:6" ht="60" customHeight="1" x14ac:dyDescent="0.25">
      <c r="A206" s="27">
        <v>203</v>
      </c>
      <c r="B206" s="28" t="s">
        <v>238</v>
      </c>
      <c r="C206" s="19" t="str">
        <f>HYPERLINK("https://portal.genego.com/cgi/entity_page.cgi?term=100&amp;id=2227","Cyclin H")</f>
        <v>Cyclin H</v>
      </c>
      <c r="D206" s="19" t="str">
        <f>HYPERLINK("https://portal.genego.com/cgi/entity_page.cgi?term=20&amp;id=-700866986","CCNH")</f>
        <v>CCNH</v>
      </c>
      <c r="E206" s="8">
        <v>0.10232631516393199</v>
      </c>
      <c r="F206" s="17">
        <v>0.54414870000000004</v>
      </c>
    </row>
    <row r="207" spans="1:6" ht="60" customHeight="1" x14ac:dyDescent="0.25">
      <c r="A207" s="27">
        <v>204</v>
      </c>
      <c r="B207" s="28" t="s">
        <v>239</v>
      </c>
      <c r="C207" s="19" t="str">
        <f>HYPERLINK("https://portal.genego.com/cgi/entity_page.cgi?term=100&amp;id=934","Cytochrome c")</f>
        <v>Cytochrome c</v>
      </c>
      <c r="D207" s="19" t="str">
        <f>HYPERLINK("https://portal.genego.com/cgi/entity_page.cgi?term=20&amp;id=1757475701","CYCS")</f>
        <v>CYCS</v>
      </c>
      <c r="E207" s="7">
        <v>0.13236753079371599</v>
      </c>
      <c r="F207" s="17">
        <v>0.4059796</v>
      </c>
    </row>
    <row r="208" spans="1:6" ht="60" customHeight="1" x14ac:dyDescent="0.25">
      <c r="A208" s="27">
        <v>205</v>
      </c>
      <c r="B208" s="28" t="s">
        <v>240</v>
      </c>
      <c r="C208" s="19" t="str">
        <f>HYPERLINK("https://portal.genego.com/cgi/entity_page.cgi?term=100&amp;id=2420","DAXX")</f>
        <v>DAXX</v>
      </c>
      <c r="D208" s="19" t="str">
        <f>HYPERLINK("https://portal.genego.com/cgi/entity_page.cgi?term=20&amp;id=-1137425790","DAXX")</f>
        <v>DAXX</v>
      </c>
      <c r="E208" s="16">
        <v>-3.6966003218823699E-2</v>
      </c>
      <c r="F208" s="17">
        <v>0.84723499999999996</v>
      </c>
    </row>
    <row r="209" spans="1:6" ht="60" customHeight="1" x14ac:dyDescent="0.25">
      <c r="A209" s="27">
        <v>206</v>
      </c>
      <c r="B209" s="28" t="s">
        <v>241</v>
      </c>
      <c r="C209" s="19" t="str">
        <f>HYPERLINK("https://portal.genego.com/cgi/entity_page.cgi?term=100&amp;id=-530028745","DCC1")</f>
        <v>DCC1</v>
      </c>
      <c r="D209" s="19" t="str">
        <f>HYPERLINK("https://portal.genego.com/cgi/entity_page.cgi?term=20&amp;id=79075","DSCC1")</f>
        <v>DSCC1</v>
      </c>
      <c r="E209" s="16">
        <v>-7.2660532805862293E-2</v>
      </c>
      <c r="F209" s="17">
        <v>0.67539700000000003</v>
      </c>
    </row>
    <row r="210" spans="1:6" ht="60" customHeight="1" x14ac:dyDescent="0.25">
      <c r="A210" s="27">
        <v>207</v>
      </c>
      <c r="B210" s="28" t="s">
        <v>242</v>
      </c>
      <c r="C210" s="19" t="str">
        <f>HYPERLINK("https://portal.genego.com/cgi/entity_page.cgi?term=100&amp;id=-1064675474","DCK")</f>
        <v>DCK</v>
      </c>
      <c r="D210" s="19" t="str">
        <f>HYPERLINK("https://portal.genego.com/cgi/entity_page.cgi?term=20&amp;id=869556475","DCK")</f>
        <v>DCK</v>
      </c>
      <c r="E210" s="15">
        <v>-0.105604298094573</v>
      </c>
      <c r="F210" s="17">
        <v>0.56141339999999995</v>
      </c>
    </row>
    <row r="211" spans="1:6" ht="60" customHeight="1" x14ac:dyDescent="0.25">
      <c r="A211" s="27">
        <v>208</v>
      </c>
      <c r="B211" s="28" t="s">
        <v>243</v>
      </c>
      <c r="C211" s="19" t="str">
        <f>HYPERLINK("https://portal.genego.com/cgi/entity_page.cgi?term=100&amp;id=-137476300","DCTN2")</f>
        <v>DCTN2</v>
      </c>
      <c r="D211" s="19" t="str">
        <f>HYPERLINK("https://portal.genego.com/cgi/entity_page.cgi?term=20&amp;id=-1856985662","DCTN2")</f>
        <v>DCTN2</v>
      </c>
      <c r="E211" s="16">
        <v>-3.59208805222926E-2</v>
      </c>
      <c r="F211" s="17">
        <v>0.85209170000000001</v>
      </c>
    </row>
    <row r="212" spans="1:6" ht="60" customHeight="1" x14ac:dyDescent="0.25">
      <c r="A212" s="27">
        <v>209</v>
      </c>
      <c r="B212" s="28" t="s">
        <v>244</v>
      </c>
      <c r="C212" s="19" t="str">
        <f>HYPERLINK("https://portal.genego.com/cgi/entity_page.cgi?term=100&amp;id=-1469260737","DDX5")</f>
        <v>DDX5</v>
      </c>
      <c r="D212" s="19" t="str">
        <f>HYPERLINK("https://portal.genego.com/cgi/entity_page.cgi?term=20&amp;id=985967672","DDX5")</f>
        <v>DDX5</v>
      </c>
      <c r="E212" s="8">
        <v>1.15219872246324E-2</v>
      </c>
      <c r="F212" s="17">
        <v>0.95009809999999995</v>
      </c>
    </row>
    <row r="213" spans="1:6" ht="60" customHeight="1" x14ac:dyDescent="0.25">
      <c r="A213" s="27">
        <v>210</v>
      </c>
      <c r="B213" s="28" t="s">
        <v>245</v>
      </c>
      <c r="C213" s="19" t="str">
        <f>HYPERLINK("https://portal.genego.com/cgi/entity_page.cgi?term=100&amp;id=-928279190","DERPC")</f>
        <v>DERPC</v>
      </c>
      <c r="D213" s="19" t="str">
        <f>HYPERLINK("https://portal.genego.com/cgi/entity_page.cgi?term=20&amp;id=54921","CHTF8")</f>
        <v>CHTF8</v>
      </c>
      <c r="E213" s="14">
        <v>-0.29126295585906697</v>
      </c>
      <c r="F213" s="17">
        <v>5.158107E-2</v>
      </c>
    </row>
    <row r="214" spans="1:6" ht="60" customHeight="1" x14ac:dyDescent="0.25">
      <c r="A214" s="27">
        <v>211</v>
      </c>
      <c r="B214" s="28" t="s">
        <v>246</v>
      </c>
      <c r="C214" s="19" t="str">
        <f>HYPERLINK("https://portal.genego.com/cgi/entity_page.cgi?term=100&amp;id=-21855788","DGK-alpha")</f>
        <v>DGK-alpha</v>
      </c>
      <c r="D214" s="19" t="str">
        <f>HYPERLINK("https://portal.genego.com/cgi/entity_page.cgi?term=20&amp;id=-1092318920","DGKA")</f>
        <v>DGKA</v>
      </c>
      <c r="E214" s="8">
        <v>4.8546930071238304E-3</v>
      </c>
      <c r="F214" s="17">
        <v>0.9802033</v>
      </c>
    </row>
    <row r="215" spans="1:6" ht="60" customHeight="1" x14ac:dyDescent="0.25">
      <c r="A215" s="27">
        <v>212</v>
      </c>
      <c r="B215" s="28" t="s">
        <v>247</v>
      </c>
      <c r="C215" s="19" t="str">
        <f>HYPERLINK("https://portal.genego.com/cgi/entity_page.cgi?term=100&amp;id=-1480936608","DHH")</f>
        <v>DHH</v>
      </c>
      <c r="D215" s="19" t="str">
        <f>HYPERLINK("https://portal.genego.com/cgi/entity_page.cgi?term=20&amp;id=1080995614","DHH")</f>
        <v>DHH</v>
      </c>
      <c r="E215" s="16">
        <v>-1.68577944267466E-4</v>
      </c>
      <c r="F215" s="17">
        <v>1</v>
      </c>
    </row>
    <row r="216" spans="1:6" ht="60" customHeight="1" x14ac:dyDescent="0.25">
      <c r="A216" s="27">
        <v>213</v>
      </c>
      <c r="B216" s="28" t="s">
        <v>248</v>
      </c>
      <c r="C216" s="19" t="str">
        <f>HYPERLINK("https://portal.genego.com/cgi/entity_page.cgi?term=100&amp;id=9311","DIA1")</f>
        <v>DIA1</v>
      </c>
      <c r="D216" s="19" t="str">
        <f>HYPERLINK("https://portal.genego.com/cgi/entity_page.cgi?term=20&amp;id=27589481","DIAPH1")</f>
        <v>DIAPH1</v>
      </c>
      <c r="E216" s="7">
        <v>0.150311967843438</v>
      </c>
      <c r="F216" s="17">
        <v>0.30458279999999999</v>
      </c>
    </row>
    <row r="217" spans="1:6" ht="60" customHeight="1" x14ac:dyDescent="0.25">
      <c r="A217" s="27">
        <v>214</v>
      </c>
      <c r="B217" s="28" t="s">
        <v>249</v>
      </c>
      <c r="C217" s="19" t="str">
        <f>HYPERLINK("https://portal.genego.com/cgi/entity_page.cgi?term=100&amp;id=-1819746718","DISP1")</f>
        <v>DISP1</v>
      </c>
      <c r="D217" s="19" t="str">
        <f>HYPERLINK("https://portal.genego.com/cgi/entity_page.cgi?term=20&amp;id=84976","DISP1")</f>
        <v>DISP1</v>
      </c>
      <c r="E217" s="8">
        <v>0.106849380400221</v>
      </c>
      <c r="F217" s="17">
        <v>0.55676199999999998</v>
      </c>
    </row>
    <row r="218" spans="1:6" ht="60" customHeight="1" x14ac:dyDescent="0.25">
      <c r="A218" s="27">
        <v>215</v>
      </c>
      <c r="B218" s="28" t="s">
        <v>250</v>
      </c>
      <c r="C218" s="19" t="str">
        <f>HYPERLINK("https://portal.genego.com/cgi/entity_page.cgi?term=100&amp;id=212","DLL1")</f>
        <v>DLL1</v>
      </c>
      <c r="D218" s="19" t="str">
        <f>HYPERLINK("https://portal.genego.com/cgi/entity_page.cgi?term=20&amp;id=1518646361","DLL1")</f>
        <v>DLL1</v>
      </c>
      <c r="E218" s="15">
        <v>-0.159225652464244</v>
      </c>
      <c r="F218" s="17">
        <v>1</v>
      </c>
    </row>
    <row r="219" spans="1:6" ht="60" customHeight="1" x14ac:dyDescent="0.25">
      <c r="A219" s="27">
        <v>216</v>
      </c>
      <c r="B219" s="28" t="s">
        <v>251</v>
      </c>
      <c r="C219" s="19" t="str">
        <f>HYPERLINK("https://portal.genego.com/cgi/entity_page.cgi?term=100&amp;id=-988002804","DNA ligase I")</f>
        <v>DNA ligase I</v>
      </c>
      <c r="D219" s="19" t="str">
        <f>HYPERLINK("https://portal.genego.com/cgi/entity_page.cgi?term=20&amp;id=-1965707903","LIG1")</f>
        <v>LIG1</v>
      </c>
      <c r="E219" s="14">
        <v>-0.31722798855080803</v>
      </c>
      <c r="F219" s="17">
        <v>6.515108E-2</v>
      </c>
    </row>
    <row r="220" spans="1:6" ht="60" customHeight="1" x14ac:dyDescent="0.25">
      <c r="A220" s="27">
        <v>217</v>
      </c>
      <c r="B220" s="28" t="s">
        <v>252</v>
      </c>
      <c r="C220" s="19" t="str">
        <f>HYPERLINK("https://portal.genego.com/cgi/entity_page.cgi?term=100&amp;id=204","DNA-PK")</f>
        <v>DNA-PK</v>
      </c>
      <c r="D220" s="19" t="str">
        <f>HYPERLINK("https://portal.genego.com/cgi/entity_page.cgi?term=20&amp;id=1632939659","PRKDC")</f>
        <v>PRKDC</v>
      </c>
      <c r="E220" s="7">
        <v>0.12716844097605601</v>
      </c>
      <c r="F220" s="17">
        <v>0.47847250000000002</v>
      </c>
    </row>
    <row r="221" spans="1:6" ht="60" customHeight="1" x14ac:dyDescent="0.25">
      <c r="A221" s="27">
        <v>218</v>
      </c>
      <c r="B221" s="28" t="s">
        <v>253</v>
      </c>
      <c r="C221" s="19" t="str">
        <f>HYPERLINK("https://portal.genego.com/cgi/entity_page.cgi?term=100&amp;id=3020","DNMT1")</f>
        <v>DNMT1</v>
      </c>
      <c r="D221" s="19" t="str">
        <f>HYPERLINK("https://portal.genego.com/cgi/entity_page.cgi?term=20&amp;id=418899017","DNMT1")</f>
        <v>DNMT1</v>
      </c>
      <c r="E221" s="15">
        <v>-0.19569575294500099</v>
      </c>
      <c r="F221" s="17">
        <v>0.2069482</v>
      </c>
    </row>
    <row r="222" spans="1:6" ht="60" customHeight="1" x14ac:dyDescent="0.25">
      <c r="A222" s="27">
        <v>219</v>
      </c>
      <c r="B222" s="28" t="s">
        <v>254</v>
      </c>
      <c r="C222" s="19" t="str">
        <f>HYPERLINK("https://portal.genego.com/cgi/entity_page.cgi?term=100&amp;id=2595","DOK1")</f>
        <v>DOK1</v>
      </c>
      <c r="D222" s="19" t="str">
        <f>HYPERLINK("https://portal.genego.com/cgi/entity_page.cgi?term=20&amp;id=1767978480","DOK1")</f>
        <v>DOK1</v>
      </c>
      <c r="E222" s="15">
        <v>-0.109138686009647</v>
      </c>
      <c r="F222" s="17">
        <v>0.54262010000000005</v>
      </c>
    </row>
    <row r="223" spans="1:6" ht="60" customHeight="1" x14ac:dyDescent="0.25">
      <c r="A223" s="27">
        <v>220</v>
      </c>
      <c r="B223" s="28" t="s">
        <v>255</v>
      </c>
      <c r="C223" s="19" t="str">
        <f>HYPERLINK("https://portal.genego.com/cgi/entity_page.cgi?term=100&amp;id=2273","DP1")</f>
        <v>DP1</v>
      </c>
      <c r="D223" s="19" t="str">
        <f>HYPERLINK("https://portal.genego.com/cgi/entity_page.cgi?term=20&amp;id=573651584","TFDP1")</f>
        <v>TFDP1</v>
      </c>
      <c r="E223" s="15">
        <v>-0.13248177774332601</v>
      </c>
      <c r="F223" s="17">
        <v>0.36374260000000003</v>
      </c>
    </row>
    <row r="224" spans="1:6" ht="60" customHeight="1" x14ac:dyDescent="0.25">
      <c r="A224" s="27">
        <v>221</v>
      </c>
      <c r="B224" s="28" t="s">
        <v>256</v>
      </c>
      <c r="C224" s="19" t="str">
        <f>HYPERLINK("https://portal.genego.com/cgi/entity_page.cgi?term=100&amp;id=-146488466","DRF1")</f>
        <v>DRF1</v>
      </c>
      <c r="D224" s="19" t="str">
        <f>HYPERLINK("https://portal.genego.com/cgi/entity_page.cgi?term=20&amp;id=-1963076199","DBF4B")</f>
        <v>DBF4B</v>
      </c>
      <c r="E224" s="15">
        <v>-0.22675446639704799</v>
      </c>
      <c r="F224" s="17">
        <v>0.2377619</v>
      </c>
    </row>
    <row r="225" spans="1:6" ht="60" customHeight="1" x14ac:dyDescent="0.25">
      <c r="A225" s="27">
        <v>222</v>
      </c>
      <c r="B225" s="28" t="s">
        <v>257</v>
      </c>
      <c r="C225" s="19" t="str">
        <f>HYPERLINK("https://portal.genego.com/cgi/entity_page.cgi?term=100&amp;id=-145852728","DSN1")</f>
        <v>DSN1</v>
      </c>
      <c r="D225" s="19" t="str">
        <f>HYPERLINK("https://portal.genego.com/cgi/entity_page.cgi?term=20&amp;id=342200552","DSN1")</f>
        <v>DSN1</v>
      </c>
      <c r="E225" s="15">
        <v>-0.11969437593820401</v>
      </c>
      <c r="F225" s="17">
        <v>0.50439659999999997</v>
      </c>
    </row>
    <row r="226" spans="1:6" ht="60" customHeight="1" x14ac:dyDescent="0.25">
      <c r="A226" s="27">
        <v>223</v>
      </c>
      <c r="B226" s="28" t="s">
        <v>258</v>
      </c>
      <c r="C226" s="19" t="str">
        <f>HYPERLINK("https://portal.genego.com/cgi/entity_page.cgi?term=100&amp;id=-1298605410","DYRK2")</f>
        <v>DYRK2</v>
      </c>
      <c r="D226" s="19" t="str">
        <f>HYPERLINK("https://portal.genego.com/cgi/entity_page.cgi?term=20&amp;id=-661616979","DYRK2")</f>
        <v>DYRK2</v>
      </c>
      <c r="E226" s="8">
        <v>0.10782366315264</v>
      </c>
      <c r="F226" s="17">
        <v>0.55901999999999996</v>
      </c>
    </row>
    <row r="227" spans="1:6" ht="60" customHeight="1" x14ac:dyDescent="0.25">
      <c r="A227" s="27">
        <v>224</v>
      </c>
      <c r="B227" s="28" t="s">
        <v>259</v>
      </c>
      <c r="C227" s="19" t="str">
        <f>HYPERLINK("https://portal.genego.com/cgi/entity_page.cgi?term=100&amp;id=-1460852293","Dynein 1, cytoplasmic, heavy chain")</f>
        <v>Dynein 1, cytoplasmic, heavy chain</v>
      </c>
      <c r="D227" s="19" t="str">
        <f>HYPERLINK("https://portal.genego.com/cgi/entity_page.cgi?term=20&amp;id=-871047399","DYNC1H1")</f>
        <v>DYNC1H1</v>
      </c>
      <c r="E227" s="7">
        <v>0.190129970508817</v>
      </c>
      <c r="F227" s="17">
        <v>0.29906139999999998</v>
      </c>
    </row>
    <row r="228" spans="1:6" ht="60" customHeight="1" x14ac:dyDescent="0.25">
      <c r="A228" s="27">
        <v>225</v>
      </c>
      <c r="B228" s="28" t="s">
        <v>260</v>
      </c>
      <c r="C228" s="19" t="str">
        <f>HYPERLINK("https://portal.genego.com/cgi/entity_page.cgi?term=100&amp;id=-30762952","Dyskerin (NAP57)")</f>
        <v>Dyskerin (NAP57)</v>
      </c>
      <c r="D228" s="19" t="str">
        <f>HYPERLINK("https://portal.genego.com/cgi/entity_page.cgi?term=20&amp;id=-1165348243","DKC1")</f>
        <v>DKC1</v>
      </c>
      <c r="E228" s="8">
        <v>1.2855475340898599E-2</v>
      </c>
      <c r="F228" s="17">
        <v>0.94966459999999997</v>
      </c>
    </row>
    <row r="229" spans="1:6" ht="60" customHeight="1" x14ac:dyDescent="0.25">
      <c r="A229" s="27">
        <v>226</v>
      </c>
      <c r="B229" s="28" t="s">
        <v>261</v>
      </c>
      <c r="C229" s="19" t="str">
        <f>HYPERLINK("https://portal.genego.com/cgi/entity_page.cgi?term=100&amp;id=2482","E-cadherin")</f>
        <v>E-cadherin</v>
      </c>
      <c r="D229" s="19" t="str">
        <f>HYPERLINK("https://portal.genego.com/cgi/entity_page.cgi?term=20&amp;id=650625306","CDH1")</f>
        <v>CDH1</v>
      </c>
      <c r="E229" s="8">
        <v>5.5719463967373803E-3</v>
      </c>
      <c r="F229" s="17">
        <v>1</v>
      </c>
    </row>
    <row r="230" spans="1:6" ht="60" customHeight="1" x14ac:dyDescent="0.25">
      <c r="A230" s="27">
        <v>227</v>
      </c>
      <c r="B230" s="28" t="s">
        <v>262</v>
      </c>
      <c r="C230" s="19" t="str">
        <f>HYPERLINK("https://portal.genego.com/cgi/entity_page.cgi?term=100&amp;id=4303","E2F1")</f>
        <v>E2F1</v>
      </c>
      <c r="D230" s="19" t="str">
        <f>HYPERLINK("https://portal.genego.com/cgi/entity_page.cgi?term=20&amp;id=-27840773","E2F1")</f>
        <v>E2F1</v>
      </c>
      <c r="E230" s="15">
        <v>-0.22855208608319599</v>
      </c>
      <c r="F230" s="17">
        <v>0.23347000000000001</v>
      </c>
    </row>
    <row r="231" spans="1:6" ht="60" customHeight="1" x14ac:dyDescent="0.25">
      <c r="A231" s="27">
        <v>228</v>
      </c>
      <c r="B231" s="28" t="s">
        <v>263</v>
      </c>
      <c r="C231" s="19" t="str">
        <f>HYPERLINK("https://portal.genego.com/cgi/entity_page.cgi?term=100&amp;id=4622","E2F2")</f>
        <v>E2F2</v>
      </c>
      <c r="D231" s="19" t="str">
        <f>HYPERLINK("https://portal.genego.com/cgi/entity_page.cgi?term=20&amp;id=1755060567","E2F2")</f>
        <v>E2F2</v>
      </c>
      <c r="E231" s="15">
        <v>-0.11752512819257099</v>
      </c>
      <c r="F231" s="17">
        <v>0.45963999999999999</v>
      </c>
    </row>
    <row r="232" spans="1:6" ht="60" customHeight="1" x14ac:dyDescent="0.25">
      <c r="A232" s="27">
        <v>229</v>
      </c>
      <c r="B232" s="28" t="s">
        <v>264</v>
      </c>
      <c r="C232" s="19" t="str">
        <f>HYPERLINK("https://portal.genego.com/cgi/entity_page.cgi?term=100&amp;id=-714032760","E2F3")</f>
        <v>E2F3</v>
      </c>
      <c r="D232" s="19" t="str">
        <f>HYPERLINK("https://portal.genego.com/cgi/entity_page.cgi?term=20&amp;id=892959891","E2F3")</f>
        <v>E2F3</v>
      </c>
      <c r="E232" s="8">
        <v>8.93194019977437E-2</v>
      </c>
      <c r="F232" s="17">
        <v>0.61940729999999999</v>
      </c>
    </row>
    <row r="233" spans="1:6" ht="60" customHeight="1" x14ac:dyDescent="0.25">
      <c r="A233" s="27">
        <v>230</v>
      </c>
      <c r="B233" s="28" t="s">
        <v>265</v>
      </c>
      <c r="C233" s="19" t="str">
        <f>HYPERLINK("https://portal.genego.com/cgi/entity_page.cgi?term=100&amp;id=4247","E2F4")</f>
        <v>E2F4</v>
      </c>
      <c r="D233" s="19" t="str">
        <f>HYPERLINK("https://portal.genego.com/cgi/entity_page.cgi?term=20&amp;id=2139618236","E2F4")</f>
        <v>E2F4</v>
      </c>
      <c r="E233" s="8">
        <v>2.62679303832291E-2</v>
      </c>
      <c r="F233" s="17">
        <v>0.89568930000000002</v>
      </c>
    </row>
    <row r="234" spans="1:6" ht="60" customHeight="1" x14ac:dyDescent="0.25">
      <c r="A234" s="27">
        <v>231</v>
      </c>
      <c r="B234" s="28" t="s">
        <v>266</v>
      </c>
      <c r="C234" s="19" t="str">
        <f>HYPERLINK("https://portal.genego.com/cgi/entity_page.cgi?term=100&amp;id=-700811687","E2F5")</f>
        <v>E2F5</v>
      </c>
      <c r="D234" s="19" t="str">
        <f>HYPERLINK("https://portal.genego.com/cgi/entity_page.cgi?term=20&amp;id=-1118797656","E2F5")</f>
        <v>E2F5</v>
      </c>
      <c r="E234" s="16">
        <v>-7.7224372524629506E-2</v>
      </c>
      <c r="F234" s="17">
        <v>0.66466009999999998</v>
      </c>
    </row>
    <row r="235" spans="1:6" ht="60" customHeight="1" x14ac:dyDescent="0.25">
      <c r="A235" s="27">
        <v>232</v>
      </c>
      <c r="B235" s="28" t="s">
        <v>267</v>
      </c>
      <c r="C235" s="19" t="str">
        <f>HYPERLINK("https://portal.genego.com/cgi/entity_page.cgi?term=100&amp;id=-1102313514","E2F6")</f>
        <v>E2F6</v>
      </c>
      <c r="D235" s="19" t="str">
        <f>HYPERLINK("https://portal.genego.com/cgi/entity_page.cgi?term=20&amp;id=-1346343033","E2F6")</f>
        <v>E2F6</v>
      </c>
      <c r="E235" s="15">
        <v>-0.144812756383248</v>
      </c>
      <c r="F235" s="17">
        <v>0.41453580000000001</v>
      </c>
    </row>
    <row r="236" spans="1:6" ht="60" customHeight="1" x14ac:dyDescent="0.25">
      <c r="A236" s="27">
        <v>233</v>
      </c>
      <c r="B236" s="28" t="s">
        <v>268</v>
      </c>
      <c r="C236" s="19" t="str">
        <f>HYPERLINK("https://portal.genego.com/cgi/entity_page.cgi?term=100&amp;id=-941335925","E3KARP (NHERF2)")</f>
        <v>E3KARP (NHERF2)</v>
      </c>
      <c r="D236" s="19" t="str">
        <f>HYPERLINK("https://portal.genego.com/cgi/entity_page.cgi?term=20&amp;id=-613219290","SLC9A3R2")</f>
        <v>SLC9A3R2</v>
      </c>
      <c r="E236" s="15">
        <v>-9.9547686914102304E-2</v>
      </c>
      <c r="F236" s="17">
        <v>0.58045409999999997</v>
      </c>
    </row>
    <row r="237" spans="1:6" ht="60" customHeight="1" x14ac:dyDescent="0.25">
      <c r="A237" s="27">
        <v>234</v>
      </c>
      <c r="B237" s="28" t="s">
        <v>269</v>
      </c>
      <c r="C237" s="19" t="str">
        <f>HYPERLINK("https://portal.genego.com/cgi/entity_page.cgi?term=100&amp;id=227","EBP50")</f>
        <v>EBP50</v>
      </c>
      <c r="D237" s="19" t="str">
        <f>HYPERLINK("https://portal.genego.com/cgi/entity_page.cgi?term=20&amp;id=-422132061","SLC9A3R1")</f>
        <v>SLC9A3R1</v>
      </c>
      <c r="E237" s="15">
        <v>-0.27614397137797803</v>
      </c>
      <c r="F237" s="17">
        <v>7.1873720000000002E-2</v>
      </c>
    </row>
    <row r="238" spans="1:6" ht="60" customHeight="1" x14ac:dyDescent="0.25">
      <c r="A238" s="27">
        <v>235</v>
      </c>
      <c r="B238" s="28" t="s">
        <v>270</v>
      </c>
      <c r="C238" s="19" t="str">
        <f>HYPERLINK("https://portal.genego.com/cgi/entity_page.cgi?term=100&amp;id=-343656044","ECHP")</f>
        <v>ECHP</v>
      </c>
      <c r="D238" s="19" t="str">
        <f>HYPERLINK("https://portal.genego.com/cgi/entity_page.cgi?term=20&amp;id=-147700716","EHHADH")</f>
        <v>EHHADH</v>
      </c>
      <c r="E238" s="15">
        <v>-9.4920731175562004E-2</v>
      </c>
      <c r="F238" s="17">
        <v>0.56934600000000002</v>
      </c>
    </row>
    <row r="239" spans="1:6" ht="60" customHeight="1" x14ac:dyDescent="0.25">
      <c r="A239" s="27">
        <v>236</v>
      </c>
      <c r="B239" s="28" t="s">
        <v>271</v>
      </c>
      <c r="C239" s="19" t="str">
        <f>HYPERLINK("https://portal.genego.com/cgi/entity_page.cgi?term=100&amp;id=-1925152099","ECHS1")</f>
        <v>ECHS1</v>
      </c>
      <c r="D239" s="19" t="str">
        <f>HYPERLINK("https://portal.genego.com/cgi/entity_page.cgi?term=20&amp;id=-1320965294","ECHS1")</f>
        <v>ECHS1</v>
      </c>
      <c r="E239" s="15">
        <v>-0.19960810108573801</v>
      </c>
      <c r="F239" s="17">
        <v>0.23210890000000001</v>
      </c>
    </row>
    <row r="240" spans="1:6" ht="60" customHeight="1" x14ac:dyDescent="0.25">
      <c r="A240" s="27">
        <v>237</v>
      </c>
      <c r="B240" s="28" t="s">
        <v>272</v>
      </c>
      <c r="C240" s="19" t="str">
        <f>HYPERLINK("https://portal.genego.com/cgi/entity_page.cgi?term=100&amp;id=232","EGF")</f>
        <v>EGF</v>
      </c>
      <c r="D240" s="19" t="str">
        <f>HYPERLINK("https://portal.genego.com/cgi/entity_page.cgi?term=20&amp;id=1623876416","EGF")</f>
        <v>EGF</v>
      </c>
      <c r="E240" s="16">
        <v>-6.7067842262804697E-2</v>
      </c>
      <c r="F240" s="17">
        <v>0.65902510000000003</v>
      </c>
    </row>
    <row r="241" spans="1:6" ht="60" customHeight="1" x14ac:dyDescent="0.25">
      <c r="A241" s="27">
        <v>238</v>
      </c>
      <c r="B241" s="28" t="s">
        <v>273</v>
      </c>
      <c r="C241" s="19" t="str">
        <f>HYPERLINK("https://portal.genego.com/cgi/entity_page.cgi?term=100&amp;id=233","EGFR")</f>
        <v>EGFR</v>
      </c>
      <c r="D241" s="19" t="str">
        <f>HYPERLINK("https://portal.genego.com/cgi/entity_page.cgi?term=20&amp;id=-503468761","EGFR")</f>
        <v>EGFR</v>
      </c>
      <c r="E241" s="8">
        <v>1.5760749821511499E-2</v>
      </c>
      <c r="F241" s="17">
        <v>0.90564869999999997</v>
      </c>
    </row>
    <row r="242" spans="1:6" ht="60" customHeight="1" x14ac:dyDescent="0.25">
      <c r="A242" s="27">
        <v>239</v>
      </c>
      <c r="B242" s="28" t="s">
        <v>274</v>
      </c>
      <c r="C242" s="19" t="str">
        <f>HYPERLINK("https://portal.genego.com/cgi/entity_page.cgi?term=100&amp;id=4387","EGR1")</f>
        <v>EGR1</v>
      </c>
      <c r="D242" s="19" t="str">
        <f>HYPERLINK("https://portal.genego.com/cgi/entity_page.cgi?term=20&amp;id=-452789537","EGR1")</f>
        <v>EGR1</v>
      </c>
      <c r="E242" s="2">
        <v>1.28676199618293</v>
      </c>
      <c r="F242" s="17">
        <v>1.099643E-11</v>
      </c>
    </row>
    <row r="243" spans="1:6" ht="60" customHeight="1" x14ac:dyDescent="0.25">
      <c r="A243" s="27">
        <v>240</v>
      </c>
      <c r="B243" s="28" t="s">
        <v>275</v>
      </c>
      <c r="C243" s="19" t="str">
        <f>HYPERLINK("https://portal.genego.com/cgi/entity_page.cgi?term=100&amp;id=-493672570","ELAVL1 (HuR)")</f>
        <v>ELAVL1 (HuR)</v>
      </c>
      <c r="D243" s="19" t="str">
        <f>HYPERLINK("https://portal.genego.com/cgi/entity_page.cgi?term=20&amp;id=1877816037","ELAVL1")</f>
        <v>ELAVL1</v>
      </c>
      <c r="E243" s="15">
        <v>-9.3474308294012695E-2</v>
      </c>
      <c r="F243" s="17">
        <v>0.53998930000000001</v>
      </c>
    </row>
    <row r="244" spans="1:6" ht="60" customHeight="1" x14ac:dyDescent="0.25">
      <c r="A244" s="27">
        <v>241</v>
      </c>
      <c r="B244" s="28" t="s">
        <v>276</v>
      </c>
      <c r="C244" s="19" t="str">
        <f>HYPERLINK("https://portal.genego.com/cgi/entity_page.cgi?term=100&amp;id=6316","ENPP1")</f>
        <v>ENPP1</v>
      </c>
      <c r="D244" s="19" t="str">
        <f>HYPERLINK("https://portal.genego.com/cgi/entity_page.cgi?term=20&amp;id=171549073","ENPP1")</f>
        <v>ENPP1</v>
      </c>
      <c r="E244" s="16">
        <v>-7.1017551852029195E-2</v>
      </c>
      <c r="F244" s="17">
        <v>0.68613279999999999</v>
      </c>
    </row>
    <row r="245" spans="1:6" ht="60" customHeight="1" x14ac:dyDescent="0.25">
      <c r="A245" s="27">
        <v>242</v>
      </c>
      <c r="B245" s="28" t="s">
        <v>277</v>
      </c>
      <c r="C245" s="19" t="str">
        <f>HYPERLINK("https://portal.genego.com/cgi/entity_page.cgi?term=100&amp;id=-1142869869","ENPP3")</f>
        <v>ENPP3</v>
      </c>
      <c r="D245" s="19" t="str">
        <f>HYPERLINK("https://portal.genego.com/cgi/entity_page.cgi?term=20&amp;id=-486932372","ENPP3")</f>
        <v>ENPP3</v>
      </c>
      <c r="E245" s="16">
        <v>-1.3199009363837E-2</v>
      </c>
      <c r="F245" s="17">
        <v>1</v>
      </c>
    </row>
    <row r="246" spans="1:6" ht="60" customHeight="1" x14ac:dyDescent="0.25">
      <c r="A246" s="27">
        <v>243</v>
      </c>
      <c r="B246" s="28" t="s">
        <v>278</v>
      </c>
      <c r="C246" s="19" t="str">
        <f>HYPERLINK("https://portal.genego.com/cgi/entity_page.cgi?term=100&amp;id=8032","ERK1 (MAPK3)")</f>
        <v>ERK1 (MAPK3)</v>
      </c>
      <c r="D246" s="19" t="str">
        <f>HYPERLINK("https://portal.genego.com/cgi/entity_page.cgi?term=20&amp;id=785655218","MAPK3")</f>
        <v>MAPK3</v>
      </c>
      <c r="E246" s="14">
        <v>-0.39224418178671999</v>
      </c>
      <c r="F246" s="17">
        <v>3.4321369999999997E-2</v>
      </c>
    </row>
    <row r="247" spans="1:6" ht="60" customHeight="1" x14ac:dyDescent="0.25">
      <c r="A247" s="27">
        <v>244</v>
      </c>
      <c r="B247" s="28" t="s">
        <v>279</v>
      </c>
      <c r="C247" s="19" t="str">
        <f>HYPERLINK("https://portal.genego.com/cgi/entity_page.cgi?term=100&amp;id=8078","ERK2 (MAPK1)")</f>
        <v>ERK2 (MAPK1)</v>
      </c>
      <c r="D247" s="19" t="str">
        <f>HYPERLINK("https://portal.genego.com/cgi/entity_page.cgi?term=20&amp;id=-538925915","MAPK1")</f>
        <v>MAPK1</v>
      </c>
      <c r="E247" s="8">
        <v>0.108263771143501</v>
      </c>
      <c r="F247" s="17">
        <v>0.54081000000000001</v>
      </c>
    </row>
    <row r="248" spans="1:6" ht="60" customHeight="1" x14ac:dyDescent="0.25">
      <c r="A248" s="27">
        <v>245</v>
      </c>
      <c r="B248" s="28" t="s">
        <v>280</v>
      </c>
      <c r="C248" s="19" t="str">
        <f>HYPERLINK("https://portal.genego.com/cgi/entity_page.cgi?term=100&amp;id=89","ERK5 (MAPK7)")</f>
        <v>ERK5 (MAPK7)</v>
      </c>
      <c r="D248" s="19" t="str">
        <f>HYPERLINK("https://portal.genego.com/cgi/entity_page.cgi?term=20&amp;id=512824541","MAPK7")</f>
        <v>MAPK7</v>
      </c>
      <c r="E248" s="16">
        <v>-8.9225735872741394E-2</v>
      </c>
      <c r="F248" s="17">
        <v>0.62291269999999999</v>
      </c>
    </row>
    <row r="249" spans="1:6" ht="60" customHeight="1" x14ac:dyDescent="0.25">
      <c r="A249" s="27">
        <v>246</v>
      </c>
      <c r="B249" s="28" t="s">
        <v>281</v>
      </c>
      <c r="C249" s="19" t="str">
        <f>HYPERLINK("https://portal.genego.com/cgi/entity_page.cgi?term=100&amp;id=-452852537","ESCO1")</f>
        <v>ESCO1</v>
      </c>
      <c r="D249" s="19" t="str">
        <f>HYPERLINK("https://portal.genego.com/cgi/entity_page.cgi?term=20&amp;id=114799","ESCO1")</f>
        <v>ESCO1</v>
      </c>
      <c r="E249" s="7">
        <v>0.128559129946891</v>
      </c>
      <c r="F249" s="17">
        <v>0.47212989999999999</v>
      </c>
    </row>
    <row r="250" spans="1:6" ht="60" customHeight="1" x14ac:dyDescent="0.25">
      <c r="A250" s="27">
        <v>247</v>
      </c>
      <c r="B250" s="28" t="s">
        <v>282</v>
      </c>
      <c r="C250" s="19" t="str">
        <f>HYPERLINK("https://portal.genego.com/cgi/entity_page.cgi?term=100&amp;id=9097","ESR1 (nuclear)")</f>
        <v>ESR1 (nuclear)</v>
      </c>
      <c r="D250" s="19" t="str">
        <f>HYPERLINK("https://portal.genego.com/cgi/entity_page.cgi?term=20&amp;id=-883560512","ESR1")</f>
        <v>ESR1</v>
      </c>
      <c r="E250" s="16">
        <v>-2.18871628327675E-3</v>
      </c>
      <c r="F250" s="17">
        <v>1</v>
      </c>
    </row>
    <row r="251" spans="1:6" ht="60" customHeight="1" x14ac:dyDescent="0.25">
      <c r="A251" s="27">
        <v>248</v>
      </c>
      <c r="B251" s="28" t="s">
        <v>283</v>
      </c>
      <c r="C251" s="19" t="str">
        <f>HYPERLINK("https://portal.genego.com/cgi/entity_page.cgi?term=100&amp;id=4385","ETS1")</f>
        <v>ETS1</v>
      </c>
      <c r="D251" s="19" t="str">
        <f>HYPERLINK("https://portal.genego.com/cgi/entity_page.cgi?term=20&amp;id=1137799972","ETS1")</f>
        <v>ETS1</v>
      </c>
      <c r="E251" s="15">
        <v>-0.19427958339130399</v>
      </c>
      <c r="F251" s="17">
        <v>0.25301960000000001</v>
      </c>
    </row>
    <row r="252" spans="1:6" ht="60" customHeight="1" x14ac:dyDescent="0.25">
      <c r="A252" s="27">
        <v>249</v>
      </c>
      <c r="B252" s="28" t="s">
        <v>284</v>
      </c>
      <c r="C252" s="19" t="str">
        <f>HYPERLINK("https://portal.genego.com/cgi/entity_page.cgi?term=100&amp;id=2940","ETS2")</f>
        <v>ETS2</v>
      </c>
      <c r="D252" s="19" t="str">
        <f>HYPERLINK("https://portal.genego.com/cgi/entity_page.cgi?term=20&amp;id=-1330541284","ETS2")</f>
        <v>ETS2</v>
      </c>
      <c r="E252" s="15">
        <v>-0.20532463670412901</v>
      </c>
      <c r="F252" s="17">
        <v>0.21847800000000001</v>
      </c>
    </row>
    <row r="253" spans="1:6" ht="60" customHeight="1" x14ac:dyDescent="0.25">
      <c r="A253" s="27">
        <v>250</v>
      </c>
      <c r="B253" s="28" t="s">
        <v>285</v>
      </c>
      <c r="C253" s="19" t="str">
        <f>HYPERLINK("https://portal.genego.com/cgi/entity_page.cgi?term=100&amp;id=-2054217856","EXO1")</f>
        <v>EXO1</v>
      </c>
      <c r="D253" s="19" t="str">
        <f>HYPERLINK("https://portal.genego.com/cgi/entity_page.cgi?term=20&amp;id=766795828","EXO1")</f>
        <v>EXO1</v>
      </c>
      <c r="E253" s="15">
        <v>-0.123589383591563</v>
      </c>
      <c r="F253" s="17">
        <v>0.49528640000000002</v>
      </c>
    </row>
    <row r="254" spans="1:6" ht="60" customHeight="1" x14ac:dyDescent="0.25">
      <c r="A254" s="27">
        <v>251</v>
      </c>
      <c r="B254" s="28" t="s">
        <v>286</v>
      </c>
      <c r="C254" s="19" t="str">
        <f>HYPERLINK("https://portal.genego.com/cgi/entity_page.cgi?term=100&amp;id=241","Elk-1")</f>
        <v>Elk-1</v>
      </c>
      <c r="D254" s="19" t="str">
        <f>HYPERLINK("https://portal.genego.com/cgi/entity_page.cgi?term=20&amp;id=-981980443","ELK1")</f>
        <v>ELK1</v>
      </c>
      <c r="E254" s="16">
        <v>-4.0957430410482797E-2</v>
      </c>
      <c r="F254" s="17">
        <v>0.83294800000000002</v>
      </c>
    </row>
    <row r="255" spans="1:6" ht="60" customHeight="1" x14ac:dyDescent="0.25">
      <c r="A255" s="27">
        <v>252</v>
      </c>
      <c r="B255" s="28" t="s">
        <v>287</v>
      </c>
      <c r="C255" s="19" t="str">
        <f>HYPERLINK("https://portal.genego.com/cgi/entity_page.cgi?term=100&amp;id=-2032480935","Emi1")</f>
        <v>Emi1</v>
      </c>
      <c r="D255" s="19" t="str">
        <f>HYPERLINK("https://portal.genego.com/cgi/entity_page.cgi?term=20&amp;id=-1397979609","FBXO5")</f>
        <v>FBXO5</v>
      </c>
      <c r="E255" s="14">
        <v>-0.31693581903117202</v>
      </c>
      <c r="F255" s="17">
        <v>9.7436900000000007E-2</v>
      </c>
    </row>
    <row r="256" spans="1:6" ht="60" customHeight="1" x14ac:dyDescent="0.25">
      <c r="A256" s="27">
        <v>253</v>
      </c>
      <c r="B256" s="28" t="s">
        <v>288</v>
      </c>
      <c r="C256" s="19" t="str">
        <f>HYPERLINK("https://portal.genego.com/cgi/entity_page.cgi?term=100&amp;id=4507","Endothelin-1")</f>
        <v>Endothelin-1</v>
      </c>
      <c r="D256" s="19" t="str">
        <f>HYPERLINK("https://portal.genego.com/cgi/entity_page.cgi?term=20&amp;id=-739522992","EDN1")</f>
        <v>EDN1</v>
      </c>
      <c r="E256" s="15">
        <v>-0.14162013160801201</v>
      </c>
      <c r="F256" s="17">
        <v>0.42663410000000002</v>
      </c>
    </row>
    <row r="257" spans="1:6" ht="60" customHeight="1" x14ac:dyDescent="0.25">
      <c r="A257" s="27">
        <v>254</v>
      </c>
      <c r="B257" s="28" t="s">
        <v>289</v>
      </c>
      <c r="C257" s="19" t="str">
        <f>HYPERLINK("https://portal.genego.com/cgi/entity_page.cgi?term=100&amp;id=8232","Endothelin-2")</f>
        <v>Endothelin-2</v>
      </c>
      <c r="D257" s="19" t="str">
        <f>HYPERLINK("https://portal.genego.com/cgi/entity_page.cgi?term=20&amp;id=-1347998979","EDN2")</f>
        <v>EDN2</v>
      </c>
      <c r="E257" s="16">
        <v>-3.6996379113160599E-3</v>
      </c>
      <c r="F257" s="17">
        <v>1</v>
      </c>
    </row>
    <row r="258" spans="1:6" ht="60" customHeight="1" x14ac:dyDescent="0.25">
      <c r="A258" s="27">
        <v>255</v>
      </c>
      <c r="B258" s="28" t="s">
        <v>290</v>
      </c>
      <c r="C258" s="19" t="str">
        <f>HYPERLINK("https://portal.genego.com/cgi/entity_page.cgi?term=100&amp;id=-356039205","Eomesodermin")</f>
        <v>Eomesodermin</v>
      </c>
      <c r="D258" s="19" t="str">
        <f>HYPERLINK("https://portal.genego.com/cgi/entity_page.cgi?term=20&amp;id=332186704","EOMES")</f>
        <v>EOMES</v>
      </c>
      <c r="E258" s="8">
        <v>3.1161602496116901E-2</v>
      </c>
      <c r="F258" s="17">
        <v>1</v>
      </c>
    </row>
    <row r="259" spans="1:6" ht="60" customHeight="1" x14ac:dyDescent="0.25">
      <c r="A259" s="27">
        <v>256</v>
      </c>
      <c r="B259" s="28" t="s">
        <v>291</v>
      </c>
      <c r="C259" s="19" t="str">
        <f>HYPERLINK("https://portal.genego.com/cgi/entity_page.cgi?term=100&amp;id=-387680613","ErbB4(ICD)")</f>
        <v>ErbB4(ICD)</v>
      </c>
      <c r="D259" s="19" t="str">
        <f>HYPERLINK("https://portal.genego.com/cgi/entity_page.cgi?term=20&amp;id=-1351078158","ERBB4")</f>
        <v>ERBB4</v>
      </c>
      <c r="E259" s="5">
        <v>0.59434433470719905</v>
      </c>
      <c r="F259" s="17">
        <v>5.7576990000000002E-2</v>
      </c>
    </row>
    <row r="260" spans="1:6" ht="60" customHeight="1" x14ac:dyDescent="0.25">
      <c r="A260" s="27">
        <v>257</v>
      </c>
      <c r="B260" s="28" t="s">
        <v>292</v>
      </c>
      <c r="C260" s="19" t="str">
        <f>HYPERLINK("https://portal.genego.com/cgi/entity_page.cgi?term=100&amp;id=2588","FAK1")</f>
        <v>FAK1</v>
      </c>
      <c r="D260" s="19" t="str">
        <f>HYPERLINK("https://portal.genego.com/cgi/entity_page.cgi?term=20&amp;id=2059126312","PTK2")</f>
        <v>PTK2</v>
      </c>
      <c r="E260" s="16">
        <v>-3.7619830661039799E-2</v>
      </c>
      <c r="F260" s="17">
        <v>0.83952020000000005</v>
      </c>
    </row>
    <row r="261" spans="1:6" ht="60" customHeight="1" x14ac:dyDescent="0.25">
      <c r="A261" s="27">
        <v>258</v>
      </c>
      <c r="B261" s="28" t="s">
        <v>293</v>
      </c>
      <c r="C261" s="19" t="str">
        <f>HYPERLINK("https://portal.genego.com/cgi/entity_page.cgi?term=100&amp;id=2244","FASN")</f>
        <v>FASN</v>
      </c>
      <c r="D261" s="19" t="str">
        <f>HYPERLINK("https://portal.genego.com/cgi/entity_page.cgi?term=20&amp;id=1627788392","FASN")</f>
        <v>FASN</v>
      </c>
      <c r="E261" s="16">
        <v>-7.7506301141994194E-2</v>
      </c>
      <c r="F261" s="17">
        <v>0.67157520000000004</v>
      </c>
    </row>
    <row r="262" spans="1:6" ht="60" customHeight="1" x14ac:dyDescent="0.25">
      <c r="A262" s="27">
        <v>259</v>
      </c>
      <c r="B262" s="28" t="s">
        <v>294</v>
      </c>
      <c r="C262" s="19" t="str">
        <f>HYPERLINK("https://portal.genego.com/cgi/entity_page.cgi?term=100&amp;id=-759664188","FBX29")</f>
        <v>FBX29</v>
      </c>
      <c r="D262" s="19" t="str">
        <f>HYPERLINK("https://portal.genego.com/cgi/entity_page.cgi?term=20&amp;id=-898150630","FBXW8")</f>
        <v>FBXW8</v>
      </c>
      <c r="E262" s="7">
        <v>0.19945342668623001</v>
      </c>
      <c r="F262" s="17">
        <v>0.2051789</v>
      </c>
    </row>
    <row r="263" spans="1:6" ht="60" customHeight="1" x14ac:dyDescent="0.25">
      <c r="A263" s="27">
        <v>260</v>
      </c>
      <c r="B263" s="28" t="s">
        <v>295</v>
      </c>
      <c r="C263" s="19" t="str">
        <f>HYPERLINK("https://portal.genego.com/cgi/entity_page.cgi?term=100&amp;id=-1059315958","FBXO31")</f>
        <v>FBXO31</v>
      </c>
      <c r="D263" s="19" t="str">
        <f>HYPERLINK("https://portal.genego.com/cgi/entity_page.cgi?term=20&amp;id=79791","FBXO31")</f>
        <v>FBXO31</v>
      </c>
      <c r="E263" s="7">
        <v>0.140743873355446</v>
      </c>
      <c r="F263" s="17">
        <v>0.41434280000000001</v>
      </c>
    </row>
    <row r="264" spans="1:6" ht="60" customHeight="1" x14ac:dyDescent="0.25">
      <c r="A264" s="27">
        <v>261</v>
      </c>
      <c r="B264" s="28" t="s">
        <v>296</v>
      </c>
      <c r="C264" s="19" t="str">
        <f>HYPERLINK("https://portal.genego.com/cgi/entity_page.cgi?term=100&amp;id=-627759737","FBXW11")</f>
        <v>FBXW11</v>
      </c>
      <c r="D264" s="19" t="str">
        <f>HYPERLINK("https://portal.genego.com/cgi/entity_page.cgi?term=20&amp;id=1604733043","FBXW11")</f>
        <v>FBXW11</v>
      </c>
      <c r="E264" s="7">
        <v>0.227535173816273</v>
      </c>
      <c r="F264" s="17">
        <v>0.1706281</v>
      </c>
    </row>
    <row r="265" spans="1:6" ht="60" customHeight="1" x14ac:dyDescent="0.25">
      <c r="A265" s="27">
        <v>262</v>
      </c>
      <c r="B265" s="28" t="s">
        <v>297</v>
      </c>
      <c r="C265" s="19" t="str">
        <f>HYPERLINK("https://portal.genego.com/cgi/entity_page.cgi?term=100&amp;id=9043","FBXW7")</f>
        <v>FBXW7</v>
      </c>
      <c r="D265" s="19" t="str">
        <f>HYPERLINK("https://portal.genego.com/cgi/entity_page.cgi?term=20&amp;id=-1485513009","FBXW7")</f>
        <v>FBXW7</v>
      </c>
      <c r="E265" s="8">
        <v>6.4911345794228595E-2</v>
      </c>
      <c r="F265" s="17">
        <v>0.72983220000000004</v>
      </c>
    </row>
    <row r="266" spans="1:6" ht="60" customHeight="1" x14ac:dyDescent="0.25">
      <c r="A266" s="27">
        <v>263</v>
      </c>
      <c r="B266" s="28" t="s">
        <v>298</v>
      </c>
      <c r="C266" s="19" t="str">
        <f>HYPERLINK("https://portal.genego.com/cgi/entity_page.cgi?term=100&amp;id=2555","FEN1")</f>
        <v>FEN1</v>
      </c>
      <c r="D266" s="19" t="str">
        <f>HYPERLINK("https://portal.genego.com/cgi/entity_page.cgi?term=20&amp;id=204006403","FEN1")</f>
        <v>FEN1</v>
      </c>
      <c r="E266" s="15">
        <v>-0.23837923032682501</v>
      </c>
      <c r="F266" s="17">
        <v>0.1151592</v>
      </c>
    </row>
    <row r="267" spans="1:6" ht="60" customHeight="1" x14ac:dyDescent="0.25">
      <c r="A267" s="27">
        <v>264</v>
      </c>
      <c r="B267" s="28" t="s">
        <v>299</v>
      </c>
      <c r="C267" s="19" t="str">
        <f>HYPERLINK("https://portal.genego.com/cgi/entity_page.cgi?term=100&amp;id=-156073660","FGF18")</f>
        <v>FGF18</v>
      </c>
      <c r="D267" s="19" t="str">
        <f>HYPERLINK("https://portal.genego.com/cgi/entity_page.cgi?term=20&amp;id=-890774640","FGF18")</f>
        <v>FGF18</v>
      </c>
      <c r="E267" s="8">
        <v>4.01720441487513E-2</v>
      </c>
      <c r="F267" s="17">
        <v>1</v>
      </c>
    </row>
    <row r="268" spans="1:6" ht="60" customHeight="1" x14ac:dyDescent="0.25">
      <c r="A268" s="27">
        <v>265</v>
      </c>
      <c r="B268" s="28" t="s">
        <v>300</v>
      </c>
      <c r="C268" s="19" t="str">
        <f>HYPERLINK("https://portal.genego.com/cgi/entity_page.cgi?term=100&amp;id=259","FGF2")</f>
        <v>FGF2</v>
      </c>
      <c r="D268" s="19" t="str">
        <f>HYPERLINK("https://portal.genego.com/cgi/entity_page.cgi?term=20&amp;id=41352046","FGF2")</f>
        <v>FGF2</v>
      </c>
      <c r="E268" s="5">
        <v>0.71728275123421104</v>
      </c>
      <c r="F268" s="17">
        <v>2.191634E-3</v>
      </c>
    </row>
    <row r="269" spans="1:6" ht="60" customHeight="1" x14ac:dyDescent="0.25">
      <c r="A269" s="27">
        <v>266</v>
      </c>
      <c r="B269" s="28" t="s">
        <v>301</v>
      </c>
      <c r="C269" s="19" t="str">
        <f>HYPERLINK("https://portal.genego.com/cgi/entity_page.cgi?term=100&amp;id=6429","FGF8")</f>
        <v>FGF8</v>
      </c>
      <c r="D269" s="19" t="str">
        <f>HYPERLINK("https://portal.genego.com/cgi/entity_page.cgi?term=20&amp;id=-1392244944","FGF8")</f>
        <v>FGF8</v>
      </c>
      <c r="E269" s="16">
        <v>-4.2112325361680201E-4</v>
      </c>
      <c r="F269" s="17">
        <v>1</v>
      </c>
    </row>
    <row r="270" spans="1:6" ht="60" customHeight="1" x14ac:dyDescent="0.25">
      <c r="A270" s="27">
        <v>267</v>
      </c>
      <c r="B270" s="28" t="s">
        <v>302</v>
      </c>
      <c r="C270" s="19" t="str">
        <f>HYPERLINK("https://portal.genego.com/cgi/entity_page.cgi?term=100&amp;id=6059","FOXM1")</f>
        <v>FOXM1</v>
      </c>
      <c r="D270" s="19" t="str">
        <f>HYPERLINK("https://portal.genego.com/cgi/entity_page.cgi?term=20&amp;id=-927539747","FOXM1")</f>
        <v>FOXM1</v>
      </c>
      <c r="E270" s="10">
        <v>-1.0919054699823201</v>
      </c>
      <c r="F270" s="17">
        <v>5.2365649999999997E-18</v>
      </c>
    </row>
    <row r="271" spans="1:6" ht="60" customHeight="1" x14ac:dyDescent="0.25">
      <c r="A271" s="27">
        <v>268</v>
      </c>
      <c r="B271" s="28" t="s">
        <v>303</v>
      </c>
      <c r="C271" s="19" t="str">
        <f>HYPERLINK("https://portal.genego.com/cgi/entity_page.cgi?term=100&amp;id=2170","FOXO3A")</f>
        <v>FOXO3A</v>
      </c>
      <c r="D271" s="19" t="str">
        <f>HYPERLINK("https://portal.genego.com/cgi/entity_page.cgi?term=20&amp;id=1431305977","FOXO3")</f>
        <v>FOXO3</v>
      </c>
      <c r="E271" s="7">
        <v>0.20105252604495699</v>
      </c>
      <c r="F271" s="17">
        <v>0.28758060000000002</v>
      </c>
    </row>
    <row r="272" spans="1:6" ht="60" customHeight="1" x14ac:dyDescent="0.25">
      <c r="A272" s="27">
        <v>269</v>
      </c>
      <c r="B272" s="28" t="s">
        <v>304</v>
      </c>
      <c r="C272" s="19" t="str">
        <f>HYPERLINK("https://portal.genego.com/cgi/entity_page.cgi?term=100&amp;id=-887991853","FOXP3")</f>
        <v>FOXP3</v>
      </c>
      <c r="D272" s="19" t="str">
        <f>HYPERLINK("https://portal.genego.com/cgi/entity_page.cgi?term=20&amp;id=-319169935","FOXP3")</f>
        <v>FOXP3</v>
      </c>
      <c r="E272" s="16">
        <v>-1.34869595932447E-2</v>
      </c>
      <c r="F272" s="17">
        <v>1</v>
      </c>
    </row>
    <row r="273" spans="1:6" ht="60" customHeight="1" x14ac:dyDescent="0.25">
      <c r="A273" s="27">
        <v>270</v>
      </c>
      <c r="B273" s="28" t="s">
        <v>305</v>
      </c>
      <c r="C273" s="19" t="str">
        <f>HYPERLINK("https://portal.genego.com/cgi/entity_page.cgi?term=100&amp;id=-1444489056","FRMD4A")</f>
        <v>FRMD4A</v>
      </c>
      <c r="D273" s="19" t="str">
        <f>HYPERLINK("https://portal.genego.com/cgi/entity_page.cgi?term=20&amp;id=55691","FRMD4A")</f>
        <v>FRMD4A</v>
      </c>
      <c r="E273" s="16">
        <v>-2.8885494230112701E-2</v>
      </c>
      <c r="F273" s="17">
        <v>0.88388290000000003</v>
      </c>
    </row>
    <row r="274" spans="1:6" ht="60" customHeight="1" x14ac:dyDescent="0.25">
      <c r="A274" s="27">
        <v>271</v>
      </c>
      <c r="B274" s="28" t="s">
        <v>306</v>
      </c>
      <c r="C274" s="19" t="str">
        <f>HYPERLINK("https://portal.genego.com/cgi/entity_page.cgi?term=100&amp;id=268","FasR(CD95)")</f>
        <v>FasR(CD95)</v>
      </c>
      <c r="D274" s="19" t="str">
        <f>HYPERLINK("https://portal.genego.com/cgi/entity_page.cgi?term=20&amp;id=-1486487222","FAS")</f>
        <v>FAS</v>
      </c>
      <c r="E274" s="7">
        <v>0.32420649487037601</v>
      </c>
      <c r="F274" s="17">
        <v>2.459677E-2</v>
      </c>
    </row>
    <row r="275" spans="1:6" ht="60" customHeight="1" x14ac:dyDescent="0.25">
      <c r="A275" s="27">
        <v>272</v>
      </c>
      <c r="B275" s="28" t="s">
        <v>307</v>
      </c>
      <c r="C275" s="19" t="str">
        <f>HYPERLINK("https://portal.genego.com/cgi/entity_page.cgi?term=100&amp;id=-432962024","Fibronectin")</f>
        <v>Fibronectin</v>
      </c>
      <c r="D275" s="19" t="str">
        <f>HYPERLINK("https://portal.genego.com/cgi/entity_page.cgi?term=20&amp;id=1422765195","FN1")</f>
        <v>FN1</v>
      </c>
      <c r="E275" s="4">
        <v>0.98301802455168097</v>
      </c>
      <c r="F275" s="17">
        <v>4.2579569999999998E-7</v>
      </c>
    </row>
    <row r="276" spans="1:6" ht="60" customHeight="1" x14ac:dyDescent="0.25">
      <c r="A276" s="27">
        <v>273</v>
      </c>
      <c r="B276" s="28" t="s">
        <v>308</v>
      </c>
      <c r="C276" s="19" t="str">
        <f>HYPERLINK("https://portal.genego.com/cgi/entity_page.cgi?term=100&amp;id=2277","Filamin A")</f>
        <v>Filamin A</v>
      </c>
      <c r="D276" s="19" t="str">
        <f>HYPERLINK("https://portal.genego.com/cgi/entity_page.cgi?term=20&amp;id=390559387","FLNA")</f>
        <v>FLNA</v>
      </c>
      <c r="E276" s="8">
        <v>7.1327681245812499E-2</v>
      </c>
      <c r="F276" s="17">
        <v>0.69444360000000005</v>
      </c>
    </row>
    <row r="277" spans="1:6" ht="60" customHeight="1" x14ac:dyDescent="0.25">
      <c r="A277" s="27">
        <v>274</v>
      </c>
      <c r="B277" s="28" t="s">
        <v>309</v>
      </c>
      <c r="C277" s="19" t="str">
        <f>HYPERLINK("https://portal.genego.com/cgi/entity_page.cgi?term=100&amp;id=2483","Fra-1")</f>
        <v>Fra-1</v>
      </c>
      <c r="D277" s="19" t="str">
        <f>HYPERLINK("https://portal.genego.com/cgi/entity_page.cgi?term=20&amp;id=2020299438","FOSL1")</f>
        <v>FOSL1</v>
      </c>
      <c r="E277" s="15">
        <v>-0.117518585511378</v>
      </c>
      <c r="F277" s="17">
        <v>0.43887409999999999</v>
      </c>
    </row>
    <row r="278" spans="1:6" ht="60" customHeight="1" x14ac:dyDescent="0.25">
      <c r="A278" s="27">
        <v>275</v>
      </c>
      <c r="B278" s="28" t="s">
        <v>310</v>
      </c>
      <c r="C278" s="19" t="str">
        <f>HYPERLINK("https://portal.genego.com/cgi/entity_page.cgi?term=100&amp;id=2484","Fra-2")</f>
        <v>Fra-2</v>
      </c>
      <c r="D278" s="19" t="str">
        <f>HYPERLINK("https://portal.genego.com/cgi/entity_page.cgi?term=20&amp;id=1729930849","FOSL2")</f>
        <v>FOSL2</v>
      </c>
      <c r="E278" s="7">
        <v>0.14141835556343099</v>
      </c>
      <c r="F278" s="17">
        <v>0.3901095</v>
      </c>
    </row>
    <row r="279" spans="1:6" ht="60" customHeight="1" x14ac:dyDescent="0.25">
      <c r="A279" s="27">
        <v>276</v>
      </c>
      <c r="B279" s="28" t="s">
        <v>311</v>
      </c>
      <c r="C279" s="19" t="str">
        <f>HYPERLINK("https://portal.genego.com/cgi/entity_page.cgi?term=100&amp;id=274","Fyn")</f>
        <v>Fyn</v>
      </c>
      <c r="D279" s="19" t="str">
        <f>HYPERLINK("https://portal.genego.com/cgi/entity_page.cgi?term=20&amp;id=1677377999","FYN")</f>
        <v>FYN</v>
      </c>
      <c r="E279" s="16">
        <v>-5.3286203730164801E-2</v>
      </c>
      <c r="F279" s="17">
        <v>0.75693049999999995</v>
      </c>
    </row>
    <row r="280" spans="1:6" ht="60" customHeight="1" x14ac:dyDescent="0.25">
      <c r="A280" s="27">
        <v>277</v>
      </c>
      <c r="B280" s="28" t="s">
        <v>312</v>
      </c>
      <c r="C280" s="19" t="str">
        <f>HYPERLINK("https://portal.genego.com/cgi/entity_page.cgi?term=100&amp;id=-1007755696","G-protein alpha-13")</f>
        <v>G-protein alpha-13</v>
      </c>
      <c r="D280" s="19" t="str">
        <f>HYPERLINK("https://portal.genego.com/cgi/entity_page.cgi?term=20&amp;id=-1578594308","GNA13")</f>
        <v>GNA13</v>
      </c>
      <c r="E280" s="8">
        <v>1.01565725040703E-2</v>
      </c>
      <c r="F280" s="17">
        <v>0.96218119999999996</v>
      </c>
    </row>
    <row r="281" spans="1:6" ht="60" customHeight="1" x14ac:dyDescent="0.25">
      <c r="A281" s="27">
        <v>278</v>
      </c>
      <c r="B281" s="28" t="s">
        <v>313</v>
      </c>
      <c r="C281" s="19" t="str">
        <f>HYPERLINK("https://portal.genego.com/cgi/entity_page.cgi?term=100&amp;id=-877141918","G-protein alpha-q")</f>
        <v>G-protein alpha-q</v>
      </c>
      <c r="D281" s="19" t="str">
        <f>HYPERLINK("https://portal.genego.com/cgi/entity_page.cgi?term=20&amp;id=-366909948","GNAQ")</f>
        <v>GNAQ</v>
      </c>
      <c r="E281" s="8">
        <v>2.8837612511361299E-2</v>
      </c>
      <c r="F281" s="17">
        <v>0.88942370000000004</v>
      </c>
    </row>
    <row r="282" spans="1:6" ht="60" customHeight="1" x14ac:dyDescent="0.25">
      <c r="A282" s="27">
        <v>279</v>
      </c>
      <c r="B282" s="28" t="s">
        <v>314</v>
      </c>
      <c r="C282" s="19" t="str">
        <f>HYPERLINK("https://portal.genego.com/cgi/entity_page.cgi?term=100&amp;id=284","G-protein alpha-s")</f>
        <v>G-protein alpha-s</v>
      </c>
      <c r="D282" s="19" t="str">
        <f>HYPERLINK("https://portal.genego.com/cgi/entity_page.cgi?term=20&amp;id=715808734","GNAS")</f>
        <v>GNAS</v>
      </c>
      <c r="E282" s="16">
        <v>-2.7120446290146601E-2</v>
      </c>
      <c r="F282" s="17">
        <v>0.86746520000000005</v>
      </c>
    </row>
    <row r="283" spans="1:6" ht="60" customHeight="1" x14ac:dyDescent="0.25">
      <c r="A283" s="27">
        <v>280</v>
      </c>
      <c r="B283" s="28" t="s">
        <v>315</v>
      </c>
      <c r="C283" s="19" t="str">
        <f>HYPERLINK("https://portal.genego.com/cgi/entity_page.cgi?term=100&amp;id=-1253271568","G-protein gamma 12")</f>
        <v>G-protein gamma 12</v>
      </c>
      <c r="D283" s="19" t="str">
        <f>HYPERLINK("https://portal.genego.com/cgi/entity_page.cgi?term=20&amp;id=977323003","GNG12")</f>
        <v>GNG12</v>
      </c>
      <c r="E283" s="7">
        <v>0.18974115433114</v>
      </c>
      <c r="F283" s="17">
        <v>0.27938259999999998</v>
      </c>
    </row>
    <row r="284" spans="1:6" ht="60" customHeight="1" x14ac:dyDescent="0.25">
      <c r="A284" s="27">
        <v>281</v>
      </c>
      <c r="B284" s="28" t="s">
        <v>316</v>
      </c>
      <c r="C284" s="19" t="str">
        <f>HYPERLINK("https://portal.genego.com/cgi/entity_page.cgi?term=100&amp;id=-209642645","G6PD")</f>
        <v>G6PD</v>
      </c>
      <c r="D284" s="19" t="str">
        <f>HYPERLINK("https://portal.genego.com/cgi/entity_page.cgi?term=20&amp;id=-1753582738","G6PD")</f>
        <v>G6PD</v>
      </c>
      <c r="E284" s="7">
        <v>0.155520379638938</v>
      </c>
      <c r="F284" s="17">
        <v>0.35165879999999999</v>
      </c>
    </row>
    <row r="285" spans="1:6" ht="60" customHeight="1" x14ac:dyDescent="0.25">
      <c r="A285" s="27">
        <v>282</v>
      </c>
      <c r="B285" s="28" t="s">
        <v>317</v>
      </c>
      <c r="C285" s="19" t="str">
        <f>HYPERLINK("https://portal.genego.com/cgi/entity_page.cgi?term=100&amp;id=8175","G6PT")</f>
        <v>G6PT</v>
      </c>
      <c r="D285" s="19" t="str">
        <f>HYPERLINK("https://portal.genego.com/cgi/entity_page.cgi?term=20&amp;id=267165045","G6PC")</f>
        <v>G6PC</v>
      </c>
      <c r="E285" s="16">
        <v>-1.23971636059088E-2</v>
      </c>
      <c r="F285" s="17">
        <v>1</v>
      </c>
    </row>
    <row r="286" spans="1:6" ht="60" customHeight="1" x14ac:dyDescent="0.25">
      <c r="A286" s="27">
        <v>283</v>
      </c>
      <c r="B286" s="28" t="s">
        <v>318</v>
      </c>
      <c r="C286" s="19" t="str">
        <f>HYPERLINK("https://portal.genego.com/cgi/entity_page.cgi?term=100&amp;id=9176","GAB2")</f>
        <v>GAB2</v>
      </c>
      <c r="D286" s="19" t="str">
        <f>HYPERLINK("https://portal.genego.com/cgi/entity_page.cgi?term=20&amp;id=-1963166123","GAB2")</f>
        <v>GAB2</v>
      </c>
      <c r="E286" s="15">
        <v>-0.15195539780560899</v>
      </c>
      <c r="F286" s="17">
        <v>0.37833539999999999</v>
      </c>
    </row>
    <row r="287" spans="1:6" ht="60" customHeight="1" x14ac:dyDescent="0.25">
      <c r="A287" s="27">
        <v>284</v>
      </c>
      <c r="B287" s="28" t="s">
        <v>319</v>
      </c>
      <c r="C287" s="19" t="str">
        <f>HYPERLINK("https://portal.genego.com/cgi/entity_page.cgi?term=100&amp;id=-406189641","GABP beta1")</f>
        <v>GABP beta1</v>
      </c>
      <c r="D287" s="19" t="str">
        <f>HYPERLINK("https://portal.genego.com/cgi/entity_page.cgi?term=20&amp;id=1699469043","GABPB1")</f>
        <v>GABPB1</v>
      </c>
      <c r="E287" s="8">
        <v>5.1012676937264604E-3</v>
      </c>
      <c r="F287" s="17">
        <v>0.98174510000000004</v>
      </c>
    </row>
    <row r="288" spans="1:6" ht="60" customHeight="1" x14ac:dyDescent="0.25">
      <c r="A288" s="27">
        <v>285</v>
      </c>
      <c r="B288" s="28" t="s">
        <v>320</v>
      </c>
      <c r="C288" s="19" t="str">
        <f>HYPERLINK("https://portal.genego.com/cgi/entity_page.cgi?term=100&amp;id=6255","GADD45 alpha")</f>
        <v>GADD45 alpha</v>
      </c>
      <c r="D288" s="19" t="str">
        <f>HYPERLINK("https://portal.genego.com/cgi/entity_page.cgi?term=20&amp;id=528094759","GADD45A")</f>
        <v>GADD45A</v>
      </c>
      <c r="E288" s="8">
        <v>3.9196755314958101E-2</v>
      </c>
      <c r="F288" s="17">
        <v>0.84230550000000004</v>
      </c>
    </row>
    <row r="289" spans="1:6" ht="60" customHeight="1" x14ac:dyDescent="0.25">
      <c r="A289" s="27">
        <v>286</v>
      </c>
      <c r="B289" s="28" t="s">
        <v>321</v>
      </c>
      <c r="C289" s="19" t="str">
        <f>HYPERLINK("https://portal.genego.com/cgi/entity_page.cgi?term=100&amp;id=-1309547351","GAS1")</f>
        <v>GAS1</v>
      </c>
      <c r="D289" s="19" t="str">
        <f>HYPERLINK("https://portal.genego.com/cgi/entity_page.cgi?term=20&amp;id=271291645","GAS1")</f>
        <v>GAS1</v>
      </c>
      <c r="E289" s="16">
        <v>-7.6453144262208896E-3</v>
      </c>
      <c r="F289" s="17">
        <v>1</v>
      </c>
    </row>
    <row r="290" spans="1:6" ht="60" customHeight="1" x14ac:dyDescent="0.25">
      <c r="A290" s="27">
        <v>287</v>
      </c>
      <c r="B290" s="28" t="s">
        <v>322</v>
      </c>
      <c r="C290" s="19" t="str">
        <f>HYPERLINK("https://portal.genego.com/cgi/entity_page.cgi?term=100&amp;id=4328","GATA-3")</f>
        <v>GATA-3</v>
      </c>
      <c r="D290" s="19" t="str">
        <f>HYPERLINK("https://portal.genego.com/cgi/entity_page.cgi?term=20&amp;id=1986811341","GATA3")</f>
        <v>GATA3</v>
      </c>
      <c r="E290" s="7">
        <v>0.117944455799926</v>
      </c>
      <c r="F290" s="17">
        <v>0.38159939999999998</v>
      </c>
    </row>
    <row r="291" spans="1:6" ht="60" customHeight="1" x14ac:dyDescent="0.25">
      <c r="A291" s="27">
        <v>288</v>
      </c>
      <c r="B291" s="28" t="s">
        <v>323</v>
      </c>
      <c r="C291" s="19" t="str">
        <f>HYPERLINK("https://portal.genego.com/cgi/entity_page.cgi?term=100&amp;id=4595","GBP1")</f>
        <v>GBP1</v>
      </c>
      <c r="D291" s="19" t="str">
        <f>HYPERLINK("https://portal.genego.com/cgi/entity_page.cgi?term=20&amp;id=1043667209","GBP1")</f>
        <v>GBP1</v>
      </c>
      <c r="E291" s="8">
        <v>1.86194392482689E-2</v>
      </c>
      <c r="F291" s="17">
        <v>0.92986919999999995</v>
      </c>
    </row>
    <row r="292" spans="1:6" ht="60" customHeight="1" x14ac:dyDescent="0.25">
      <c r="A292" s="27">
        <v>289</v>
      </c>
      <c r="B292" s="28" t="s">
        <v>324</v>
      </c>
      <c r="C292" s="19" t="str">
        <f>HYPERLINK("https://portal.genego.com/cgi/entity_page.cgi?term=100&amp;id=-1607539289","GCGR")</f>
        <v>GCGR</v>
      </c>
      <c r="D292" s="19" t="str">
        <f>HYPERLINK("https://portal.genego.com/cgi/entity_page.cgi?term=20&amp;id=-452874026","GCGR")</f>
        <v>GCGR</v>
      </c>
      <c r="E292" s="16">
        <v>-4.38742405988541E-3</v>
      </c>
      <c r="F292" s="17">
        <v>1</v>
      </c>
    </row>
    <row r="293" spans="1:6" ht="60" customHeight="1" x14ac:dyDescent="0.25">
      <c r="A293" s="27">
        <v>290</v>
      </c>
      <c r="B293" s="28" t="s">
        <v>325</v>
      </c>
      <c r="C293" s="19" t="str">
        <f>HYPERLINK("https://portal.genego.com/cgi/entity_page.cgi?term=100&amp;id=-610777851","GCN5")</f>
        <v>GCN5</v>
      </c>
      <c r="D293" s="19" t="str">
        <f>HYPERLINK("https://portal.genego.com/cgi/entity_page.cgi?term=20&amp;id=911133586","KAT2A")</f>
        <v>KAT2A</v>
      </c>
      <c r="E293" s="16">
        <v>-2.9490510780525302E-2</v>
      </c>
      <c r="F293" s="17">
        <v>0.88448890000000002</v>
      </c>
    </row>
    <row r="294" spans="1:6" ht="60" customHeight="1" x14ac:dyDescent="0.25">
      <c r="A294" s="27">
        <v>291</v>
      </c>
      <c r="B294" s="28" t="s">
        <v>326</v>
      </c>
      <c r="C294" s="19" t="str">
        <f>HYPERLINK("https://portal.genego.com/cgi/entity_page.cgi?term=100&amp;id=301","GDNF")</f>
        <v>GDNF</v>
      </c>
      <c r="D294" s="19" t="str">
        <f>HYPERLINK("https://portal.genego.com/cgi/entity_page.cgi?term=20&amp;id=2144923052","GDNF")</f>
        <v>GDNF</v>
      </c>
      <c r="E294" s="8">
        <v>3.2325161401561497E-2</v>
      </c>
      <c r="F294" s="17">
        <v>0.86493359999999997</v>
      </c>
    </row>
    <row r="295" spans="1:6" ht="60" customHeight="1" x14ac:dyDescent="0.25">
      <c r="A295" s="27">
        <v>292</v>
      </c>
      <c r="B295" s="28" t="s">
        <v>327</v>
      </c>
      <c r="C295" s="19" t="str">
        <f>HYPERLINK("https://portal.genego.com/cgi/entity_page.cgi?term=100&amp;id=313","GLI-1")</f>
        <v>GLI-1</v>
      </c>
      <c r="D295" s="19" t="str">
        <f>HYPERLINK("https://portal.genego.com/cgi/entity_page.cgi?term=20&amp;id=190782685","GLI1")</f>
        <v>GLI1</v>
      </c>
      <c r="E295" s="15">
        <v>-0.13697013430986801</v>
      </c>
      <c r="F295" s="17">
        <v>0.30525809999999998</v>
      </c>
    </row>
    <row r="296" spans="1:6" ht="60" customHeight="1" x14ac:dyDescent="0.25">
      <c r="A296" s="27">
        <v>293</v>
      </c>
      <c r="B296" s="28" t="s">
        <v>328</v>
      </c>
      <c r="C296" s="19" t="str">
        <f>HYPERLINK("https://portal.genego.com/cgi/entity_page.cgi?term=100&amp;id=-1856732278","GLI-2")</f>
        <v>GLI-2</v>
      </c>
      <c r="D296" s="19" t="str">
        <f>HYPERLINK("https://portal.genego.com/cgi/entity_page.cgi?term=20&amp;id=-988289784","GLI2")</f>
        <v>GLI2</v>
      </c>
      <c r="E296" s="15">
        <v>-0.14404807477908299</v>
      </c>
      <c r="F296" s="17">
        <v>0.41403309999999999</v>
      </c>
    </row>
    <row r="297" spans="1:6" ht="60" customHeight="1" x14ac:dyDescent="0.25">
      <c r="A297" s="27">
        <v>294</v>
      </c>
      <c r="B297" s="28" t="s">
        <v>329</v>
      </c>
      <c r="C297" s="19" t="str">
        <f>HYPERLINK("https://portal.genego.com/cgi/entity_page.cgi?term=100&amp;id=6094","GLI-3")</f>
        <v>GLI-3</v>
      </c>
      <c r="D297" s="19" t="str">
        <f>HYPERLINK("https://portal.genego.com/cgi/entity_page.cgi?term=20&amp;id=-725763533","GLI3")</f>
        <v>GLI3</v>
      </c>
      <c r="E297" s="14">
        <v>-0.32209458517224598</v>
      </c>
      <c r="F297" s="17">
        <v>0.1351484</v>
      </c>
    </row>
    <row r="298" spans="1:6" ht="60" customHeight="1" x14ac:dyDescent="0.25">
      <c r="A298" s="27">
        <v>295</v>
      </c>
      <c r="B298" s="28" t="s">
        <v>329</v>
      </c>
      <c r="C298" s="19" t="str">
        <f>HYPERLINK("https://portal.genego.com/cgi/entity_page.cgi?term=100&amp;id=-415039165","GLI-3R")</f>
        <v>GLI-3R</v>
      </c>
      <c r="D298" s="19" t="str">
        <f>HYPERLINK("https://portal.genego.com/cgi/entity_page.cgi?term=20&amp;id=-725763533","GLI3")</f>
        <v>GLI3</v>
      </c>
      <c r="E298" s="14">
        <v>-0.32209458517224598</v>
      </c>
      <c r="F298" s="17">
        <v>0.1351484</v>
      </c>
    </row>
    <row r="299" spans="1:6" ht="60" customHeight="1" x14ac:dyDescent="0.25">
      <c r="A299" s="27">
        <v>296</v>
      </c>
      <c r="B299" s="28" t="s">
        <v>330</v>
      </c>
      <c r="C299" s="19" t="str">
        <f>HYPERLINK("https://portal.genego.com/cgi/entity_page.cgi?term=100&amp;id=-1015905928","GLUT1")</f>
        <v>GLUT1</v>
      </c>
      <c r="D299" s="19" t="str">
        <f>HYPERLINK("https://portal.genego.com/cgi/entity_page.cgi?term=20&amp;id=164888959","SLC2A1")</f>
        <v>SLC2A1</v>
      </c>
      <c r="E299" s="14">
        <v>-0.32635473240261997</v>
      </c>
      <c r="F299" s="17">
        <v>1.258388E-2</v>
      </c>
    </row>
    <row r="300" spans="1:6" ht="60" customHeight="1" x14ac:dyDescent="0.25">
      <c r="A300" s="27">
        <v>297</v>
      </c>
      <c r="B300" s="28" t="s">
        <v>331</v>
      </c>
      <c r="C300" s="19" t="str">
        <f>HYPERLINK("https://portal.genego.com/cgi/entity_page.cgi?term=100&amp;id=2123","GLUT4")</f>
        <v>GLUT4</v>
      </c>
      <c r="D300" s="19" t="str">
        <f>HYPERLINK("https://portal.genego.com/cgi/entity_page.cgi?term=20&amp;id=809909675","SLC2A4")</f>
        <v>SLC2A4</v>
      </c>
      <c r="E300" s="8">
        <v>2.9237797617029701E-2</v>
      </c>
      <c r="F300" s="17">
        <v>1</v>
      </c>
    </row>
    <row r="301" spans="1:6" ht="60" customHeight="1" x14ac:dyDescent="0.25">
      <c r="A301" s="27">
        <v>298</v>
      </c>
      <c r="B301" s="28" t="s">
        <v>332</v>
      </c>
      <c r="C301" s="19" t="str">
        <f>HYPERLINK("https://portal.genego.com/cgi/entity_page.cgi?term=100&amp;id=-475236393","GLYAT")</f>
        <v>GLYAT</v>
      </c>
      <c r="D301" s="19" t="str">
        <f>HYPERLINK("https://portal.genego.com/cgi/entity_page.cgi?term=20&amp;id=-1469732437","GLYAT")</f>
        <v>GLYAT</v>
      </c>
      <c r="E301" s="16">
        <v>-2.26227795070244E-3</v>
      </c>
      <c r="F301" s="17">
        <v>1</v>
      </c>
    </row>
    <row r="302" spans="1:6" ht="60" customHeight="1" x14ac:dyDescent="0.25">
      <c r="A302" s="27">
        <v>299</v>
      </c>
      <c r="B302" s="28" t="s">
        <v>333</v>
      </c>
      <c r="C302" s="19" t="str">
        <f>HYPERLINK("https://portal.genego.com/cgi/entity_page.cgi?term=100&amp;id=-1141980807","GRAP")</f>
        <v>GRAP</v>
      </c>
      <c r="D302" s="19" t="str">
        <f>HYPERLINK("https://portal.genego.com/cgi/entity_page.cgi?term=20&amp;id=2041503214","GRAP")</f>
        <v>GRAP</v>
      </c>
      <c r="E302" s="16">
        <v>-6.9916671772271297E-3</v>
      </c>
      <c r="F302" s="17">
        <v>1</v>
      </c>
    </row>
    <row r="303" spans="1:6" ht="60" customHeight="1" x14ac:dyDescent="0.25">
      <c r="A303" s="27">
        <v>300</v>
      </c>
      <c r="B303" s="28" t="s">
        <v>334</v>
      </c>
      <c r="C303" s="19" t="str">
        <f>HYPERLINK("https://portal.genego.com/cgi/entity_page.cgi?term=100&amp;id=2591","GRAP2")</f>
        <v>GRAP2</v>
      </c>
      <c r="D303" s="19" t="str">
        <f>HYPERLINK("https://portal.genego.com/cgi/entity_page.cgi?term=20&amp;id=784044888","GRAP2")</f>
        <v>GRAP2</v>
      </c>
      <c r="E303" s="16">
        <v>-4.1405931543024698E-3</v>
      </c>
      <c r="F303" s="17">
        <v>1</v>
      </c>
    </row>
    <row r="304" spans="1:6" ht="60" customHeight="1" x14ac:dyDescent="0.25">
      <c r="A304" s="27">
        <v>301</v>
      </c>
      <c r="B304" s="28" t="s">
        <v>335</v>
      </c>
      <c r="C304" s="19" t="str">
        <f>HYPERLINK("https://portal.genego.com/cgi/entity_page.cgi?term=100&amp;id=2375","GRB10")</f>
        <v>GRB10</v>
      </c>
      <c r="D304" s="19" t="str">
        <f>HYPERLINK("https://portal.genego.com/cgi/entity_page.cgi?term=20&amp;id=-2115383654","GRB10")</f>
        <v>GRB10</v>
      </c>
      <c r="E304" s="15">
        <v>-0.138603777625467</v>
      </c>
      <c r="F304" s="17">
        <v>0.36123359999999999</v>
      </c>
    </row>
    <row r="305" spans="1:6" ht="60" customHeight="1" x14ac:dyDescent="0.25">
      <c r="A305" s="27">
        <v>302</v>
      </c>
      <c r="B305" s="28" t="s">
        <v>336</v>
      </c>
      <c r="C305" s="19" t="str">
        <f>HYPERLINK("https://portal.genego.com/cgi/entity_page.cgi?term=100&amp;id=336","GRB2")</f>
        <v>GRB2</v>
      </c>
      <c r="D305" s="19" t="str">
        <f>HYPERLINK("https://portal.genego.com/cgi/entity_page.cgi?term=20&amp;id=-109890755","GRB2")</f>
        <v>GRB2</v>
      </c>
      <c r="E305" s="8">
        <v>0.110994569054327</v>
      </c>
      <c r="F305" s="17">
        <v>0.44559270000000001</v>
      </c>
    </row>
    <row r="306" spans="1:6" ht="60" customHeight="1" x14ac:dyDescent="0.25">
      <c r="A306" s="27">
        <v>303</v>
      </c>
      <c r="B306" s="28" t="s">
        <v>337</v>
      </c>
      <c r="C306" s="19" t="str">
        <f>HYPERLINK("https://portal.genego.com/cgi/entity_page.cgi?term=100&amp;id=9138","GSK3 alpha")</f>
        <v>GSK3 alpha</v>
      </c>
      <c r="D306" s="19" t="str">
        <f>HYPERLINK("https://portal.genego.com/cgi/entity_page.cgi?term=20&amp;id=1428356728","GSK3A")</f>
        <v>GSK3A</v>
      </c>
      <c r="E306" s="16">
        <v>-6.5881837178550506E-2</v>
      </c>
      <c r="F306" s="17">
        <v>0.71758379999999999</v>
      </c>
    </row>
    <row r="307" spans="1:6" ht="60" customHeight="1" x14ac:dyDescent="0.25">
      <c r="A307" s="27">
        <v>304</v>
      </c>
      <c r="B307" s="28" t="s">
        <v>338</v>
      </c>
      <c r="C307" s="19" t="str">
        <f>HYPERLINK("https://portal.genego.com/cgi/entity_page.cgi?term=100&amp;id=9056","GSK3 beta")</f>
        <v>GSK3 beta</v>
      </c>
      <c r="D307" s="19" t="str">
        <f>HYPERLINK("https://portal.genego.com/cgi/entity_page.cgi?term=20&amp;id=52905101","GSK3B")</f>
        <v>GSK3B</v>
      </c>
      <c r="E307" s="7">
        <v>0.12878273857835601</v>
      </c>
      <c r="F307" s="17">
        <v>0.46393909999999999</v>
      </c>
    </row>
    <row r="308" spans="1:6" ht="60" customHeight="1" x14ac:dyDescent="0.25">
      <c r="A308" s="27">
        <v>305</v>
      </c>
      <c r="B308" s="28" t="s">
        <v>339</v>
      </c>
      <c r="C308" s="19" t="str">
        <f>HYPERLINK("https://portal.genego.com/cgi/entity_page.cgi?term=100&amp;id=-2048346936","GTSE1")</f>
        <v>GTSE1</v>
      </c>
      <c r="D308" s="19" t="str">
        <f>HYPERLINK("https://portal.genego.com/cgi/entity_page.cgi?term=20&amp;id=-1843649238","GTSE1")</f>
        <v>GTSE1</v>
      </c>
      <c r="E308" s="14">
        <v>-0.31112229004927699</v>
      </c>
      <c r="F308" s="17">
        <v>0.10183399999999999</v>
      </c>
    </row>
    <row r="309" spans="1:6" ht="60" customHeight="1" x14ac:dyDescent="0.25">
      <c r="A309" s="27">
        <v>306</v>
      </c>
      <c r="B309" s="28" t="s">
        <v>340</v>
      </c>
      <c r="C309" s="19" t="str">
        <f>HYPERLINK("https://portal.genego.com/cgi/entity_page.cgi?term=100&amp;id=-16521942","Geminin")</f>
        <v>Geminin</v>
      </c>
      <c r="D309" s="19" t="str">
        <f>HYPERLINK("https://portal.genego.com/cgi/entity_page.cgi?term=20&amp;id=-1042067730","GMNN")</f>
        <v>GMNN</v>
      </c>
      <c r="E309" s="13">
        <v>-0.47513603919574499</v>
      </c>
      <c r="F309" s="17">
        <v>2.7092649999999999E-2</v>
      </c>
    </row>
    <row r="310" spans="1:6" ht="60" customHeight="1" x14ac:dyDescent="0.25">
      <c r="A310" s="27">
        <v>307</v>
      </c>
      <c r="B310" s="28" t="s">
        <v>341</v>
      </c>
      <c r="C310" s="19" t="str">
        <f>HYPERLINK("https://portal.genego.com/cgi/entity_page.cgi?term=100&amp;id=680","H-Ras")</f>
        <v>H-Ras</v>
      </c>
      <c r="D310" s="19" t="str">
        <f>HYPERLINK("https://portal.genego.com/cgi/entity_page.cgi?term=20&amp;id=-262218140","HRAS")</f>
        <v>HRAS</v>
      </c>
      <c r="E310" s="16">
        <v>-8.8468969556506794E-2</v>
      </c>
      <c r="F310" s="17">
        <v>0.62614789999999998</v>
      </c>
    </row>
    <row r="311" spans="1:6" ht="60" customHeight="1" x14ac:dyDescent="0.25">
      <c r="A311" s="27">
        <v>308</v>
      </c>
      <c r="B311" s="28" t="s">
        <v>342</v>
      </c>
      <c r="C311" s="19" t="str">
        <f>HYPERLINK("https://portal.genego.com/cgi/entity_page.cgi?term=100&amp;id=6159","HAS2")</f>
        <v>HAS2</v>
      </c>
      <c r="D311" s="19" t="str">
        <f>HYPERLINK("https://portal.genego.com/cgi/entity_page.cgi?term=20&amp;id=-1409855379","HAS2")</f>
        <v>HAS2</v>
      </c>
      <c r="E311" s="4">
        <v>0.88993801522534799</v>
      </c>
      <c r="F311" s="17">
        <v>2.057254E-2</v>
      </c>
    </row>
    <row r="312" spans="1:6" ht="60" customHeight="1" x14ac:dyDescent="0.25">
      <c r="A312" s="27">
        <v>309</v>
      </c>
      <c r="B312" s="28" t="s">
        <v>343</v>
      </c>
      <c r="C312" s="19" t="str">
        <f>HYPERLINK("https://portal.genego.com/cgi/entity_page.cgi?term=100&amp;id=-1360501236","HB-EGF")</f>
        <v>HB-EGF</v>
      </c>
      <c r="D312" s="19" t="str">
        <f>HYPERLINK("https://portal.genego.com/cgi/entity_page.cgi?term=20&amp;id=-379873800","HBEGF")</f>
        <v>HBEGF</v>
      </c>
      <c r="E312" s="4">
        <v>0.90081469308335604</v>
      </c>
      <c r="F312" s="17">
        <v>1.4081629999999999E-8</v>
      </c>
    </row>
    <row r="313" spans="1:6" ht="60" customHeight="1" x14ac:dyDescent="0.25">
      <c r="A313" s="27">
        <v>310</v>
      </c>
      <c r="B313" s="28" t="s">
        <v>344</v>
      </c>
      <c r="C313" s="19" t="str">
        <f>HYPERLINK("https://portal.genego.com/cgi/entity_page.cgi?term=100&amp;id=-1314966400","HCD2")</f>
        <v>HCD2</v>
      </c>
      <c r="D313" s="19" t="str">
        <f>HYPERLINK("https://portal.genego.com/cgi/entity_page.cgi?term=20&amp;id=-1769457945","HSD17B10")</f>
        <v>HSD17B10</v>
      </c>
      <c r="E313" s="8">
        <v>2.4404887008320001E-2</v>
      </c>
      <c r="F313" s="17">
        <v>0.90804870000000004</v>
      </c>
    </row>
    <row r="314" spans="1:6" ht="60" customHeight="1" x14ac:dyDescent="0.25">
      <c r="A314" s="27">
        <v>311</v>
      </c>
      <c r="B314" s="28" t="s">
        <v>345</v>
      </c>
      <c r="C314" s="19" t="str">
        <f>HYPERLINK("https://portal.genego.com/cgi/entity_page.cgi?term=100&amp;id=-1820179080","HCDH")</f>
        <v>HCDH</v>
      </c>
      <c r="D314" s="19" t="str">
        <f>HYPERLINK("https://portal.genego.com/cgi/entity_page.cgi?term=20&amp;id=-1953254987","HADH")</f>
        <v>HADH</v>
      </c>
      <c r="E314" s="14">
        <v>-0.33207896149976901</v>
      </c>
      <c r="F314" s="17">
        <v>6.3381110000000004E-2</v>
      </c>
    </row>
    <row r="315" spans="1:6" ht="60" customHeight="1" x14ac:dyDescent="0.25">
      <c r="A315" s="27">
        <v>312</v>
      </c>
      <c r="B315" s="28" t="s">
        <v>346</v>
      </c>
      <c r="C315" s="19" t="str">
        <f>HYPERLINK("https://portal.genego.com/cgi/entity_page.cgi?term=100&amp;id=2539","HDAC3")</f>
        <v>HDAC3</v>
      </c>
      <c r="D315" s="19" t="str">
        <f>HYPERLINK("https://portal.genego.com/cgi/entity_page.cgi?term=20&amp;id=748866274","HDAC3")</f>
        <v>HDAC3</v>
      </c>
      <c r="E315" s="15">
        <v>-0.120424922509765</v>
      </c>
      <c r="F315" s="17">
        <v>0.4860237</v>
      </c>
    </row>
    <row r="316" spans="1:6" ht="60" customHeight="1" x14ac:dyDescent="0.25">
      <c r="A316" s="27">
        <v>313</v>
      </c>
      <c r="B316" s="28" t="s">
        <v>347</v>
      </c>
      <c r="C316" s="19" t="str">
        <f>HYPERLINK("https://portal.genego.com/cgi/entity_page.cgi?term=100&amp;id=-1140757519","HDAC4")</f>
        <v>HDAC4</v>
      </c>
      <c r="D316" s="19" t="str">
        <f>HYPERLINK("https://portal.genego.com/cgi/entity_page.cgi?term=20&amp;id=-2082731194","HDAC4")</f>
        <v>HDAC4</v>
      </c>
      <c r="E316" s="8">
        <v>1.8423685637643301E-2</v>
      </c>
      <c r="F316" s="17">
        <v>0.92663430000000002</v>
      </c>
    </row>
    <row r="317" spans="1:6" ht="60" customHeight="1" x14ac:dyDescent="0.25">
      <c r="A317" s="27">
        <v>314</v>
      </c>
      <c r="B317" s="28" t="s">
        <v>348</v>
      </c>
      <c r="C317" s="19" t="str">
        <f>HYPERLINK("https://portal.genego.com/cgi/entity_page.cgi?term=100&amp;id=2530","HDAC6")</f>
        <v>HDAC6</v>
      </c>
      <c r="D317" s="19" t="str">
        <f>HYPERLINK("https://portal.genego.com/cgi/entity_page.cgi?term=20&amp;id=-1481013814","HDAC6")</f>
        <v>HDAC6</v>
      </c>
      <c r="E317" s="15">
        <v>-0.14528352612099199</v>
      </c>
      <c r="F317" s="17">
        <v>0.39788869999999998</v>
      </c>
    </row>
    <row r="318" spans="1:6" ht="60" customHeight="1" x14ac:dyDescent="0.25">
      <c r="A318" s="27">
        <v>315</v>
      </c>
      <c r="B318" s="28" t="s">
        <v>349</v>
      </c>
      <c r="C318" s="19" t="str">
        <f>HYPERLINK("https://portal.genego.com/cgi/entity_page.cgi?term=100&amp;id=-1193629931","HDAC7")</f>
        <v>HDAC7</v>
      </c>
      <c r="D318" s="19" t="str">
        <f>HYPERLINK("https://portal.genego.com/cgi/entity_page.cgi?term=20&amp;id=-1788415352","HDAC7")</f>
        <v>HDAC7</v>
      </c>
      <c r="E318" s="15">
        <v>-0.149145342289035</v>
      </c>
      <c r="F318" s="17">
        <v>0.37571310000000002</v>
      </c>
    </row>
    <row r="319" spans="1:6" ht="60" customHeight="1" x14ac:dyDescent="0.25">
      <c r="A319" s="27">
        <v>316</v>
      </c>
      <c r="B319" s="28" t="s">
        <v>350</v>
      </c>
      <c r="C319" s="19" t="str">
        <f>HYPERLINK("https://portal.genego.com/cgi/entity_page.cgi?term=100&amp;id=9147","HEC")</f>
        <v>HEC</v>
      </c>
      <c r="D319" s="19" t="str">
        <f>HYPERLINK("https://portal.genego.com/cgi/entity_page.cgi?term=20&amp;id=618561175","NDC80")</f>
        <v>NDC80</v>
      </c>
      <c r="E319" s="13">
        <v>-0.519764767506259</v>
      </c>
      <c r="F319" s="17">
        <v>3.185982E-3</v>
      </c>
    </row>
    <row r="320" spans="1:6" ht="60" customHeight="1" x14ac:dyDescent="0.25">
      <c r="A320" s="27">
        <v>317</v>
      </c>
      <c r="B320" s="28" t="s">
        <v>351</v>
      </c>
      <c r="C320" s="19" t="str">
        <f>HYPERLINK("https://portal.genego.com/cgi/entity_page.cgi?term=100&amp;id=-149338283","HES1")</f>
        <v>HES1</v>
      </c>
      <c r="D320" s="19" t="str">
        <f>HYPERLINK("https://portal.genego.com/cgi/entity_page.cgi?term=20&amp;id=1548682530","HES1")</f>
        <v>HES1</v>
      </c>
      <c r="E320" s="15">
        <v>-0.196908897071538</v>
      </c>
      <c r="F320" s="17">
        <v>0.2739354</v>
      </c>
    </row>
    <row r="321" spans="1:6" ht="60" customHeight="1" x14ac:dyDescent="0.25">
      <c r="A321" s="27">
        <v>318</v>
      </c>
      <c r="B321" s="28" t="s">
        <v>352</v>
      </c>
      <c r="C321" s="19" t="str">
        <f>HYPERLINK("https://portal.genego.com/cgi/entity_page.cgi?term=100&amp;id=-278987168","HES5")</f>
        <v>HES5</v>
      </c>
      <c r="D321" s="19" t="str">
        <f>HYPERLINK("https://portal.genego.com/cgi/entity_page.cgi?term=20&amp;id=256482","HES5")</f>
        <v>HES5</v>
      </c>
      <c r="E321" s="16">
        <v>-5.86670231687118E-3</v>
      </c>
      <c r="F321" s="17">
        <v>1</v>
      </c>
    </row>
    <row r="322" spans="1:6" ht="60" customHeight="1" x14ac:dyDescent="0.25">
      <c r="A322" s="27">
        <v>319</v>
      </c>
      <c r="B322" s="28" t="s">
        <v>353</v>
      </c>
      <c r="C322" s="19" t="str">
        <f>HYPERLINK("https://portal.genego.com/cgi/entity_page.cgi?term=100&amp;id=-1239476801","HEY1")</f>
        <v>HEY1</v>
      </c>
      <c r="D322" s="19" t="str">
        <f>HYPERLINK("https://portal.genego.com/cgi/entity_page.cgi?term=20&amp;id=546033292","HEY1")</f>
        <v>HEY1</v>
      </c>
      <c r="E322" s="16">
        <v>-8.9308888000771795E-3</v>
      </c>
      <c r="F322" s="17">
        <v>1</v>
      </c>
    </row>
    <row r="323" spans="1:6" ht="60" customHeight="1" x14ac:dyDescent="0.25">
      <c r="A323" s="27">
        <v>320</v>
      </c>
      <c r="B323" s="28" t="s">
        <v>354</v>
      </c>
      <c r="C323" s="19" t="str">
        <f>HYPERLINK("https://portal.genego.com/cgi/entity_page.cgi?term=100&amp;id=6283","HEY2")</f>
        <v>HEY2</v>
      </c>
      <c r="D323" s="19" t="str">
        <f>HYPERLINK("https://portal.genego.com/cgi/entity_page.cgi?term=20&amp;id=-2125260035","HEY2")</f>
        <v>HEY2</v>
      </c>
      <c r="E323" s="8">
        <v>1.5891172616090601E-2</v>
      </c>
      <c r="F323" s="17">
        <v>1</v>
      </c>
    </row>
    <row r="324" spans="1:6" ht="60" customHeight="1" x14ac:dyDescent="0.25">
      <c r="A324" s="27">
        <v>321</v>
      </c>
      <c r="B324" s="28" t="s">
        <v>355</v>
      </c>
      <c r="C324" s="19" t="str">
        <f>HYPERLINK("https://portal.genego.com/cgi/entity_page.cgi?term=100&amp;id=-1419118157","HHAT")</f>
        <v>HHAT</v>
      </c>
      <c r="D324" s="19" t="str">
        <f>HYPERLINK("https://portal.genego.com/cgi/entity_page.cgi?term=20&amp;id=55733","HHAT")</f>
        <v>HHAT</v>
      </c>
      <c r="E324" s="16">
        <v>-1.46142692841394E-2</v>
      </c>
      <c r="F324" s="17">
        <v>0.9448763</v>
      </c>
    </row>
    <row r="325" spans="1:6" ht="60" customHeight="1" x14ac:dyDescent="0.25">
      <c r="A325" s="27">
        <v>322</v>
      </c>
      <c r="B325" s="28" t="s">
        <v>356</v>
      </c>
      <c r="C325" s="19" t="str">
        <f>HYPERLINK("https://portal.genego.com/cgi/entity_page.cgi?term=100&amp;id=4359","HIF1A")</f>
        <v>HIF1A</v>
      </c>
      <c r="D325" s="19" t="str">
        <f>HYPERLINK("https://portal.genego.com/cgi/entity_page.cgi?term=20&amp;id=2093821528","HIF1A")</f>
        <v>HIF1A</v>
      </c>
      <c r="E325" s="6">
        <v>0.45627770995042799</v>
      </c>
      <c r="F325" s="17">
        <v>1.259969E-2</v>
      </c>
    </row>
    <row r="326" spans="1:6" ht="60" customHeight="1" x14ac:dyDescent="0.25">
      <c r="A326" s="27">
        <v>323</v>
      </c>
      <c r="B326" s="28" t="s">
        <v>357</v>
      </c>
      <c r="C326" s="19" t="str">
        <f>HYPERLINK("https://portal.genego.com/cgi/entity_page.cgi?term=100&amp;id=347","HIP")</f>
        <v>HIP</v>
      </c>
      <c r="D326" s="19" t="str">
        <f>HYPERLINK("https://portal.genego.com/cgi/entity_page.cgi?term=20&amp;id=-277024198","HHIP")</f>
        <v>HHIP</v>
      </c>
      <c r="E326" s="13">
        <v>-0.52192469444818002</v>
      </c>
      <c r="F326" s="17">
        <v>2.8537799999999998E-4</v>
      </c>
    </row>
    <row r="327" spans="1:6" ht="60" customHeight="1" x14ac:dyDescent="0.25">
      <c r="A327" s="27">
        <v>324</v>
      </c>
      <c r="B327" s="28" t="s">
        <v>358</v>
      </c>
      <c r="C327" s="19" t="str">
        <f>HYPERLINK("https://portal.genego.com/cgi/entity_page.cgi?term=100&amp;id=-1669596048","HIPK2")</f>
        <v>HIPK2</v>
      </c>
      <c r="D327" s="19" t="str">
        <f>HYPERLINK("https://portal.genego.com/cgi/entity_page.cgi?term=20&amp;id=-1405766084","HIPK2")</f>
        <v>HIPK2</v>
      </c>
      <c r="E327" s="6">
        <v>0.567466778408242</v>
      </c>
      <c r="F327" s="17">
        <v>3.6118530000000003E-2</v>
      </c>
    </row>
    <row r="328" spans="1:6" ht="60" customHeight="1" x14ac:dyDescent="0.25">
      <c r="A328" s="27">
        <v>325</v>
      </c>
      <c r="B328" s="28" t="s">
        <v>359</v>
      </c>
      <c r="C328" s="19" t="str">
        <f>HYPERLINK("https://portal.genego.com/cgi/entity_page.cgi?term=100&amp;id=-463111713","HMGCS2")</f>
        <v>HMGCS2</v>
      </c>
      <c r="D328" s="19" t="str">
        <f>HYPERLINK("https://portal.genego.com/cgi/entity_page.cgi?term=20&amp;id=49803094","HMGCS2")</f>
        <v>HMGCS2</v>
      </c>
      <c r="E328" s="16">
        <v>-4.0973587604616604E-3</v>
      </c>
      <c r="F328" s="17">
        <v>1</v>
      </c>
    </row>
    <row r="329" spans="1:6" ht="60" customHeight="1" x14ac:dyDescent="0.25">
      <c r="A329" s="27">
        <v>326</v>
      </c>
      <c r="B329" s="28" t="s">
        <v>360</v>
      </c>
      <c r="C329" s="19" t="str">
        <f>HYPERLINK("https://portal.genego.com/cgi/entity_page.cgi?term=100&amp;id=-460864343","HP1 alpha")</f>
        <v>HP1 alpha</v>
      </c>
      <c r="D329" s="19" t="str">
        <f>HYPERLINK("https://portal.genego.com/cgi/entity_page.cgi?term=20&amp;id=291506480","CBX5")</f>
        <v>CBX5</v>
      </c>
      <c r="E329" s="8">
        <v>2.47401631117273E-2</v>
      </c>
      <c r="F329" s="17">
        <v>0.90518580000000004</v>
      </c>
    </row>
    <row r="330" spans="1:6" ht="60" customHeight="1" x14ac:dyDescent="0.25">
      <c r="A330" s="27">
        <v>327</v>
      </c>
      <c r="B330" s="28" t="s">
        <v>361</v>
      </c>
      <c r="C330" s="19" t="str">
        <f>HYPERLINK("https://portal.genego.com/cgi/entity_page.cgi?term=100&amp;id=-318892837","HP1 gamma")</f>
        <v>HP1 gamma</v>
      </c>
      <c r="D330" s="19" t="str">
        <f>HYPERLINK("https://portal.genego.com/cgi/entity_page.cgi?term=20&amp;id=-569206353","CBX3")</f>
        <v>CBX3</v>
      </c>
      <c r="E330" s="15">
        <v>-0.25653120088721898</v>
      </c>
      <c r="F330" s="17">
        <v>7.8231449999999994E-2</v>
      </c>
    </row>
    <row r="331" spans="1:6" ht="60" customHeight="1" x14ac:dyDescent="0.25">
      <c r="A331" s="27">
        <v>328</v>
      </c>
      <c r="B331" s="28" t="s">
        <v>362</v>
      </c>
      <c r="C331" s="19" t="str">
        <f>HYPERLINK("https://portal.genego.com/cgi/entity_page.cgi?term=100&amp;id=6431","HSF1")</f>
        <v>HSF1</v>
      </c>
      <c r="D331" s="19" t="str">
        <f>HYPERLINK("https://portal.genego.com/cgi/entity_page.cgi?term=20&amp;id=1185085780","HSF1")</f>
        <v>HSF1</v>
      </c>
      <c r="E331" s="15">
        <v>-0.120549222100166</v>
      </c>
      <c r="F331" s="17">
        <v>0.48754449999999999</v>
      </c>
    </row>
    <row r="332" spans="1:6" ht="60" customHeight="1" x14ac:dyDescent="0.25">
      <c r="A332" s="27">
        <v>329</v>
      </c>
      <c r="B332" s="28" t="s">
        <v>363</v>
      </c>
      <c r="C332" s="19" t="str">
        <f>HYPERLINK("https://portal.genego.com/cgi/entity_page.cgi?term=100&amp;id=2289","HUS1")</f>
        <v>HUS1</v>
      </c>
      <c r="D332" s="19" t="str">
        <f>HYPERLINK("https://portal.genego.com/cgi/entity_page.cgi?term=20&amp;id=-21362169","HUS1")</f>
        <v>HUS1</v>
      </c>
      <c r="E332" s="7">
        <v>0.18288516805062</v>
      </c>
      <c r="F332" s="17">
        <v>0.29779290000000003</v>
      </c>
    </row>
    <row r="333" spans="1:6" ht="60" customHeight="1" x14ac:dyDescent="0.25">
      <c r="A333" s="27">
        <v>330</v>
      </c>
      <c r="B333" s="28" t="s">
        <v>364</v>
      </c>
      <c r="C333" s="19" t="str">
        <f>HYPERLINK("https://portal.genego.com/cgi/entity_page.cgi?term=100&amp;id=8179","HXK2")</f>
        <v>HXK2</v>
      </c>
      <c r="D333" s="19" t="str">
        <f>HYPERLINK("https://portal.genego.com/cgi/entity_page.cgi?term=20&amp;id=-1508624890","HK2")</f>
        <v>HK2</v>
      </c>
      <c r="E333" s="7">
        <v>0.142747374511212</v>
      </c>
      <c r="F333" s="17">
        <v>0.40239239999999998</v>
      </c>
    </row>
    <row r="334" spans="1:6" ht="60" customHeight="1" x14ac:dyDescent="0.25">
      <c r="A334" s="27">
        <v>331</v>
      </c>
      <c r="B334" s="28" t="s">
        <v>365</v>
      </c>
      <c r="C334" s="19" t="str">
        <f>HYPERLINK("https://portal.genego.com/cgi/entity_page.cgi?term=100&amp;id=-1148239641","HZwint-1")</f>
        <v>HZwint-1</v>
      </c>
      <c r="D334" s="19" t="str">
        <f>HYPERLINK("https://portal.genego.com/cgi/entity_page.cgi?term=20&amp;id=11130","ZWINT")</f>
        <v>ZWINT</v>
      </c>
      <c r="E334" s="14">
        <v>-0.35010221528129498</v>
      </c>
      <c r="F334" s="17">
        <v>3.5860299999999998E-2</v>
      </c>
    </row>
    <row r="335" spans="1:6" ht="60" customHeight="1" x14ac:dyDescent="0.25">
      <c r="A335" s="27">
        <v>332</v>
      </c>
      <c r="B335" s="28" t="s">
        <v>366</v>
      </c>
      <c r="C335" s="19" t="str">
        <f>HYPERLINK("https://portal.genego.com/cgi/entity_page.cgi?term=100&amp;id=2937","Heme oxygenase 1")</f>
        <v>Heme oxygenase 1</v>
      </c>
      <c r="D335" s="19" t="str">
        <f>HYPERLINK("https://portal.genego.com/cgi/entity_page.cgi?term=20&amp;id=-24835399","HMOX1")</f>
        <v>HMOX1</v>
      </c>
      <c r="E335" s="14">
        <v>-0.288825187696997</v>
      </c>
      <c r="F335" s="17">
        <v>9.9886420000000004E-2</v>
      </c>
    </row>
    <row r="336" spans="1:6" ht="60" customHeight="1" x14ac:dyDescent="0.25">
      <c r="A336" s="27">
        <v>333</v>
      </c>
      <c r="B336" s="28" t="s">
        <v>367</v>
      </c>
      <c r="C336" s="19" t="str">
        <f>HYPERLINK("https://portal.genego.com/cgi/entity_page.cgi?term=100&amp;id=-380929558","ID1")</f>
        <v>ID1</v>
      </c>
      <c r="D336" s="19" t="str">
        <f>HYPERLINK("https://portal.genego.com/cgi/entity_page.cgi?term=20&amp;id=-1577109087","ID1")</f>
        <v>ID1</v>
      </c>
      <c r="E336" s="14">
        <v>-0.44539193060904902</v>
      </c>
      <c r="F336" s="17">
        <v>2.0565770000000001E-2</v>
      </c>
    </row>
    <row r="337" spans="1:6" ht="60" customHeight="1" x14ac:dyDescent="0.25">
      <c r="A337" s="27">
        <v>334</v>
      </c>
      <c r="B337" s="28" t="s">
        <v>368</v>
      </c>
      <c r="C337" s="19" t="str">
        <f>HYPERLINK("https://portal.genego.com/cgi/entity_page.cgi?term=100&amp;id=-1379242027","ID2")</f>
        <v>ID2</v>
      </c>
      <c r="D337" s="19" t="str">
        <f>HYPERLINK("https://portal.genego.com/cgi/entity_page.cgi?term=20&amp;id=-1217482022","ID2")</f>
        <v>ID2</v>
      </c>
      <c r="E337" s="15">
        <v>-0.119906134258241</v>
      </c>
      <c r="F337" s="17">
        <v>0.4600572</v>
      </c>
    </row>
    <row r="338" spans="1:6" ht="60" customHeight="1" x14ac:dyDescent="0.25">
      <c r="A338" s="27">
        <v>335</v>
      </c>
      <c r="B338" s="28" t="s">
        <v>369</v>
      </c>
      <c r="C338" s="19" t="str">
        <f>HYPERLINK("https://portal.genego.com/cgi/entity_page.cgi?term=100&amp;id=-1079323038","ID3")</f>
        <v>ID3</v>
      </c>
      <c r="D338" s="19" t="str">
        <f>HYPERLINK("https://portal.genego.com/cgi/entity_page.cgi?term=20&amp;id=-125261563","ID3")</f>
        <v>ID3</v>
      </c>
      <c r="E338" s="12">
        <v>-0.67624155639601302</v>
      </c>
      <c r="F338" s="17">
        <v>2.140582E-4</v>
      </c>
    </row>
    <row r="339" spans="1:6" ht="60" customHeight="1" x14ac:dyDescent="0.25">
      <c r="A339" s="27">
        <v>336</v>
      </c>
      <c r="B339" s="28" t="s">
        <v>370</v>
      </c>
      <c r="C339" s="19" t="str">
        <f>HYPERLINK("https://portal.genego.com/cgi/entity_page.cgi?term=100&amp;id=-515480985","IDO1")</f>
        <v>IDO1</v>
      </c>
      <c r="D339" s="19" t="str">
        <f>HYPERLINK("https://portal.genego.com/cgi/entity_page.cgi?term=20&amp;id=1461139557","IDO1")</f>
        <v>IDO1</v>
      </c>
      <c r="E339" s="16">
        <v>-4.0263446266019798E-2</v>
      </c>
      <c r="F339" s="17">
        <v>0.75206709999999999</v>
      </c>
    </row>
    <row r="340" spans="1:6" ht="60" customHeight="1" x14ac:dyDescent="0.25">
      <c r="A340" s="27">
        <v>337</v>
      </c>
      <c r="B340" s="28" t="s">
        <v>371</v>
      </c>
      <c r="C340" s="19" t="str">
        <f>HYPERLINK("https://portal.genego.com/cgi/entity_page.cgi?term=100&amp;id=-373439309","IDO2")</f>
        <v>IDO2</v>
      </c>
      <c r="D340" s="19" t="str">
        <f>HYPERLINK("https://portal.genego.com/cgi/entity_page.cgi?term=20&amp;id=169355","IDO2")</f>
        <v>IDO2</v>
      </c>
      <c r="E340" s="16">
        <v>-1.5384763775128299E-2</v>
      </c>
      <c r="F340" s="17">
        <v>1</v>
      </c>
    </row>
    <row r="341" spans="1:6" ht="60" customHeight="1" x14ac:dyDescent="0.25">
      <c r="A341" s="27">
        <v>338</v>
      </c>
      <c r="B341" s="28" t="s">
        <v>372</v>
      </c>
      <c r="C341" s="19" t="str">
        <f>HYPERLINK("https://portal.genego.com/cgi/entity_page.cgi?term=100&amp;id=4475","IFI17")</f>
        <v>IFI17</v>
      </c>
      <c r="D341" s="19" t="str">
        <f>HYPERLINK("https://portal.genego.com/cgi/entity_page.cgi?term=20&amp;id=-1408806436","IFITM1")</f>
        <v>IFITM1</v>
      </c>
      <c r="E341" s="8">
        <v>0.104102498733774</v>
      </c>
      <c r="F341" s="17">
        <v>0.27705990000000003</v>
      </c>
    </row>
    <row r="342" spans="1:6" ht="60" customHeight="1" x14ac:dyDescent="0.25">
      <c r="A342" s="27">
        <v>339</v>
      </c>
      <c r="B342" s="28" t="s">
        <v>373</v>
      </c>
      <c r="C342" s="19" t="str">
        <f>HYPERLINK("https://portal.genego.com/cgi/entity_page.cgi?term=100&amp;id=374","IFN-beta")</f>
        <v>IFN-beta</v>
      </c>
      <c r="D342" s="19" t="str">
        <f>HYPERLINK("https://portal.genego.com/cgi/entity_page.cgi?term=20&amp;id=-1247243869","IFNB1")</f>
        <v>IFNB1</v>
      </c>
      <c r="E342" s="8">
        <v>4.9539824571925503E-3</v>
      </c>
      <c r="F342" s="17">
        <v>1</v>
      </c>
    </row>
    <row r="343" spans="1:6" ht="60" customHeight="1" x14ac:dyDescent="0.25">
      <c r="A343" s="27">
        <v>340</v>
      </c>
      <c r="B343" s="28" t="s">
        <v>374</v>
      </c>
      <c r="C343" s="19" t="str">
        <f>HYPERLINK("https://portal.genego.com/cgi/entity_page.cgi?term=100&amp;id=381","IGF-1 receptor")</f>
        <v>IGF-1 receptor</v>
      </c>
      <c r="D343" s="19" t="str">
        <f>HYPERLINK("https://portal.genego.com/cgi/entity_page.cgi?term=20&amp;id=178895210","IGF1R")</f>
        <v>IGF1R</v>
      </c>
      <c r="E343" s="16">
        <v>-2.60332183981518E-2</v>
      </c>
      <c r="F343" s="17">
        <v>0.90090009999999998</v>
      </c>
    </row>
    <row r="344" spans="1:6" ht="60" customHeight="1" x14ac:dyDescent="0.25">
      <c r="A344" s="27">
        <v>341</v>
      </c>
      <c r="B344" s="28" t="s">
        <v>375</v>
      </c>
      <c r="C344" s="19" t="str">
        <f>HYPERLINK("https://portal.genego.com/cgi/entity_page.cgi?term=100&amp;id=2624","IKK-alpha")</f>
        <v>IKK-alpha</v>
      </c>
      <c r="D344" s="19" t="str">
        <f>HYPERLINK("https://portal.genego.com/cgi/entity_page.cgi?term=20&amp;id=-1483844710","CHUK")</f>
        <v>CHUK</v>
      </c>
      <c r="E344" s="7">
        <v>0.187436384045852</v>
      </c>
      <c r="F344" s="17">
        <v>0.27780270000000001</v>
      </c>
    </row>
    <row r="345" spans="1:6" ht="60" customHeight="1" x14ac:dyDescent="0.25">
      <c r="A345" s="27">
        <v>342</v>
      </c>
      <c r="B345" s="28" t="s">
        <v>376</v>
      </c>
      <c r="C345" s="19" t="str">
        <f>HYPERLINK("https://portal.genego.com/cgi/entity_page.cgi?term=100&amp;id=9158","IKK-beta")</f>
        <v>IKK-beta</v>
      </c>
      <c r="D345" s="19" t="str">
        <f>HYPERLINK("https://portal.genego.com/cgi/entity_page.cgi?term=20&amp;id=-1621310830","IKBKB")</f>
        <v>IKBKB</v>
      </c>
      <c r="E345" s="7">
        <v>0.126022977443353</v>
      </c>
      <c r="F345" s="17">
        <v>0.39831359999999999</v>
      </c>
    </row>
    <row r="346" spans="1:6" ht="60" customHeight="1" x14ac:dyDescent="0.25">
      <c r="A346" s="27">
        <v>343</v>
      </c>
      <c r="B346" s="28" t="s">
        <v>377</v>
      </c>
      <c r="C346" s="19" t="str">
        <f>HYPERLINK("https://portal.genego.com/cgi/entity_page.cgi?term=100&amp;id=2339","IKK-gamma")</f>
        <v>IKK-gamma</v>
      </c>
      <c r="D346" s="19" t="str">
        <f>HYPERLINK("https://portal.genego.com/cgi/entity_page.cgi?term=20&amp;id=1076238238","IKBKG")</f>
        <v>IKBKG</v>
      </c>
      <c r="E346" s="7">
        <v>0.13921128394319299</v>
      </c>
      <c r="F346" s="17">
        <v>0.42304439999999999</v>
      </c>
    </row>
    <row r="347" spans="1:6" ht="60" customHeight="1" x14ac:dyDescent="0.25">
      <c r="A347" s="27">
        <v>344</v>
      </c>
      <c r="B347" s="28" t="s">
        <v>378</v>
      </c>
      <c r="C347" s="19" t="str">
        <f>HYPERLINK("https://portal.genego.com/cgi/entity_page.cgi?term=100&amp;id=391","IL-1 beta")</f>
        <v>IL-1 beta</v>
      </c>
      <c r="D347" s="19" t="str">
        <f>HYPERLINK("https://portal.genego.com/cgi/entity_page.cgi?term=20&amp;id=766931574","IL1B")</f>
        <v>IL1B</v>
      </c>
      <c r="E347" s="5">
        <v>0.80263752068574401</v>
      </c>
      <c r="F347" s="17">
        <v>1.8046269999999999E-7</v>
      </c>
    </row>
    <row r="348" spans="1:6" ht="60" customHeight="1" x14ac:dyDescent="0.25">
      <c r="A348" s="27">
        <v>345</v>
      </c>
      <c r="B348" s="28" t="s">
        <v>379</v>
      </c>
      <c r="C348" s="19" t="str">
        <f>HYPERLINK("https://portal.genego.com/cgi/entity_page.cgi?term=100&amp;id=392","IL-10")</f>
        <v>IL-10</v>
      </c>
      <c r="D348" s="19" t="str">
        <f>HYPERLINK("https://portal.genego.com/cgi/entity_page.cgi?term=20&amp;id=-929701261","IL10")</f>
        <v>IL10</v>
      </c>
      <c r="E348" s="16">
        <v>-1.8997591187467699E-2</v>
      </c>
      <c r="F348" s="17">
        <v>1</v>
      </c>
    </row>
    <row r="349" spans="1:6" ht="60" customHeight="1" x14ac:dyDescent="0.25">
      <c r="A349" s="27">
        <v>346</v>
      </c>
      <c r="B349" s="28" t="s">
        <v>380</v>
      </c>
      <c r="C349" s="19" t="str">
        <f>HYPERLINK("https://portal.genego.com/cgi/entity_page.cgi?term=100&amp;id=396","IL-13")</f>
        <v>IL-13</v>
      </c>
      <c r="D349" s="19" t="str">
        <f>HYPERLINK("https://portal.genego.com/cgi/entity_page.cgi?term=20&amp;id=2135237100","IL13")</f>
        <v>IL13</v>
      </c>
      <c r="E349" s="16">
        <v>-5.7797925045858399E-3</v>
      </c>
      <c r="F349" s="17">
        <v>1</v>
      </c>
    </row>
    <row r="350" spans="1:6" ht="60" customHeight="1" x14ac:dyDescent="0.25">
      <c r="A350" s="27">
        <v>347</v>
      </c>
      <c r="B350" s="28" t="s">
        <v>381</v>
      </c>
      <c r="C350" s="19" t="str">
        <f>HYPERLINK("https://portal.genego.com/cgi/entity_page.cgi?term=100&amp;id=4086","IL-15")</f>
        <v>IL-15</v>
      </c>
      <c r="D350" s="19" t="str">
        <f>HYPERLINK("https://portal.genego.com/cgi/entity_page.cgi?term=20&amp;id=2051609833","IL15")</f>
        <v>IL15</v>
      </c>
      <c r="E350" s="15">
        <v>-0.17220759058441901</v>
      </c>
      <c r="F350" s="17">
        <v>0.33726739999999999</v>
      </c>
    </row>
    <row r="351" spans="1:6" ht="60" customHeight="1" x14ac:dyDescent="0.25">
      <c r="A351" s="27">
        <v>348</v>
      </c>
      <c r="B351" s="28" t="s">
        <v>382</v>
      </c>
      <c r="C351" s="19" t="str">
        <f>HYPERLINK("https://portal.genego.com/cgi/entity_page.cgi?term=100&amp;id=-1569630619","IL-16")</f>
        <v>IL-16</v>
      </c>
      <c r="D351" s="19" t="str">
        <f>HYPERLINK("https://portal.genego.com/cgi/entity_page.cgi?term=20&amp;id=1783576050","IL16")</f>
        <v>IL16</v>
      </c>
      <c r="E351" s="8">
        <v>4.2693362900934603E-2</v>
      </c>
      <c r="F351" s="17">
        <v>0.75618200000000002</v>
      </c>
    </row>
    <row r="352" spans="1:6" ht="60" customHeight="1" x14ac:dyDescent="0.25">
      <c r="A352" s="27">
        <v>349</v>
      </c>
      <c r="B352" s="28" t="s">
        <v>382</v>
      </c>
      <c r="C352" s="19" t="str">
        <f>HYPERLINK("https://portal.genego.com/cgi/entity_page.cgi?term=100&amp;id=-1400199312","IL-16 mature")</f>
        <v>IL-16 mature</v>
      </c>
      <c r="D352" s="19" t="str">
        <f>HYPERLINK("https://portal.genego.com/cgi/entity_page.cgi?term=20&amp;id=1783576050","IL16")</f>
        <v>IL16</v>
      </c>
      <c r="E352" s="8">
        <v>4.2693362900934603E-2</v>
      </c>
      <c r="F352" s="17">
        <v>0.75618200000000002</v>
      </c>
    </row>
    <row r="353" spans="1:6" ht="60" customHeight="1" x14ac:dyDescent="0.25">
      <c r="A353" s="27">
        <v>350</v>
      </c>
      <c r="B353" s="28" t="s">
        <v>383</v>
      </c>
      <c r="C353" s="19" t="str">
        <f>HYPERLINK("https://portal.genego.com/cgi/entity_page.cgi?term=100&amp;id=4449","IL-2R alpha chain")</f>
        <v>IL-2R alpha chain</v>
      </c>
      <c r="D353" s="19" t="str">
        <f>HYPERLINK("https://portal.genego.com/cgi/entity_page.cgi?term=20&amp;id=-2062106293","IL2RA")</f>
        <v>IL2RA</v>
      </c>
      <c r="E353" s="16">
        <v>-8.6130364939763296E-3</v>
      </c>
      <c r="F353" s="17">
        <v>1</v>
      </c>
    </row>
    <row r="354" spans="1:6" ht="60" customHeight="1" x14ac:dyDescent="0.25">
      <c r="A354" s="27">
        <v>351</v>
      </c>
      <c r="B354" s="28" t="s">
        <v>384</v>
      </c>
      <c r="C354" s="19" t="str">
        <f>HYPERLINK("https://portal.genego.com/cgi/entity_page.cgi?term=100&amp;id=6177","IL-2R beta chain")</f>
        <v>IL-2R beta chain</v>
      </c>
      <c r="D354" s="19" t="str">
        <f>HYPERLINK("https://portal.genego.com/cgi/entity_page.cgi?term=20&amp;id=208675320","IL2RB")</f>
        <v>IL2RB</v>
      </c>
      <c r="E354" s="8">
        <v>4.0283116163788704E-3</v>
      </c>
      <c r="F354" s="17">
        <v>1</v>
      </c>
    </row>
    <row r="355" spans="1:6" ht="60" customHeight="1" x14ac:dyDescent="0.25">
      <c r="A355" s="27">
        <v>352</v>
      </c>
      <c r="B355" s="28" t="s">
        <v>385</v>
      </c>
      <c r="C355" s="19" t="str">
        <f>HYPERLINK("https://portal.genego.com/cgi/entity_page.cgi?term=100&amp;id=8223","IL-2R gamma chain")</f>
        <v>IL-2R gamma chain</v>
      </c>
      <c r="D355" s="19" t="str">
        <f>HYPERLINK("https://portal.genego.com/cgi/entity_page.cgi?term=20&amp;id=1697288112","IL2RG")</f>
        <v>IL2RG</v>
      </c>
      <c r="E355" s="16">
        <v>-2.68499740538621E-3</v>
      </c>
      <c r="F355" s="17">
        <v>1</v>
      </c>
    </row>
    <row r="356" spans="1:6" ht="60" customHeight="1" x14ac:dyDescent="0.25">
      <c r="A356" s="27">
        <v>353</v>
      </c>
      <c r="B356" s="28" t="s">
        <v>386</v>
      </c>
      <c r="C356" s="19" t="str">
        <f>HYPERLINK("https://portal.genego.com/cgi/entity_page.cgi?term=100&amp;id=404","IL-4")</f>
        <v>IL-4</v>
      </c>
      <c r="D356" s="19" t="str">
        <f>HYPERLINK("https://portal.genego.com/cgi/entity_page.cgi?term=20&amp;id=-557113759","IL4")</f>
        <v>IL4</v>
      </c>
      <c r="E356" s="16">
        <v>-8.0939254219778902E-3</v>
      </c>
      <c r="F356" s="17">
        <v>1</v>
      </c>
    </row>
    <row r="357" spans="1:6" ht="60" customHeight="1" x14ac:dyDescent="0.25">
      <c r="A357" s="27">
        <v>354</v>
      </c>
      <c r="B357" s="28" t="s">
        <v>387</v>
      </c>
      <c r="C357" s="19" t="str">
        <f>HYPERLINK("https://portal.genego.com/cgi/entity_page.cgi?term=100&amp;id=410","IL-6")</f>
        <v>IL-6</v>
      </c>
      <c r="D357" s="19" t="str">
        <f>HYPERLINK("https://portal.genego.com/cgi/entity_page.cgi?term=20&amp;id=-1359026299","IL6")</f>
        <v>IL6</v>
      </c>
      <c r="E357" s="8">
        <v>0.10985401295623801</v>
      </c>
      <c r="F357" s="17">
        <v>0.50190250000000003</v>
      </c>
    </row>
    <row r="358" spans="1:6" ht="60" customHeight="1" x14ac:dyDescent="0.25">
      <c r="A358" s="27">
        <v>355</v>
      </c>
      <c r="B358" s="28" t="s">
        <v>388</v>
      </c>
      <c r="C358" s="19" t="str">
        <f>HYPERLINK("https://portal.genego.com/cgi/entity_page.cgi?term=100&amp;id=-2069599671","IL13RA2")</f>
        <v>IL13RA2</v>
      </c>
      <c r="D358" s="19" t="str">
        <f>HYPERLINK("https://portal.genego.com/cgi/entity_page.cgi?term=20&amp;id=-1727225967","IL13RA2")</f>
        <v>IL13RA2</v>
      </c>
      <c r="E358" s="8">
        <v>4.0131691892127501E-2</v>
      </c>
      <c r="F358" s="17">
        <v>1</v>
      </c>
    </row>
    <row r="359" spans="1:6" ht="60" customHeight="1" x14ac:dyDescent="0.25">
      <c r="A359" s="27">
        <v>356</v>
      </c>
      <c r="B359" s="28" t="s">
        <v>389</v>
      </c>
      <c r="C359" s="19" t="str">
        <f>HYPERLINK("https://portal.genego.com/cgi/entity_page.cgi?term=100&amp;id=-927270430","IL7RA")</f>
        <v>IL7RA</v>
      </c>
      <c r="D359" s="19" t="str">
        <f>HYPERLINK("https://portal.genego.com/cgi/entity_page.cgi?term=20&amp;id=-95714255","IL7R")</f>
        <v>IL7R</v>
      </c>
      <c r="E359" s="15">
        <v>-9.8917071553275795E-2</v>
      </c>
      <c r="F359" s="17">
        <v>0.57494940000000005</v>
      </c>
    </row>
    <row r="360" spans="1:6" ht="60" customHeight="1" x14ac:dyDescent="0.25">
      <c r="A360" s="27">
        <v>357</v>
      </c>
      <c r="B360" s="28" t="s">
        <v>390</v>
      </c>
      <c r="C360" s="19" t="str">
        <f>HYPERLINK("https://portal.genego.com/cgi/entity_page.cgi?term=100&amp;id=2155","ILK")</f>
        <v>ILK</v>
      </c>
      <c r="D360" s="19" t="str">
        <f>HYPERLINK("https://portal.genego.com/cgi/entity_page.cgi?term=20&amp;id=-69923923","ILK")</f>
        <v>ILK</v>
      </c>
      <c r="E360" s="15">
        <v>-0.10900646637507801</v>
      </c>
      <c r="F360" s="17">
        <v>0.53558649999999997</v>
      </c>
    </row>
    <row r="361" spans="1:6" ht="60" customHeight="1" x14ac:dyDescent="0.25">
      <c r="A361" s="27">
        <v>358</v>
      </c>
      <c r="B361" s="28" t="s">
        <v>391</v>
      </c>
      <c r="C361" s="19" t="str">
        <f>HYPERLINK("https://portal.genego.com/cgi/entity_page.cgi?term=100&amp;id=-318004703","IMP1(ZBP1)")</f>
        <v>IMP1(ZBP1)</v>
      </c>
      <c r="D361" s="19" t="str">
        <f>HYPERLINK("https://portal.genego.com/cgi/entity_page.cgi?term=20&amp;id=-1170841695","IGF2BP1")</f>
        <v>IGF2BP1</v>
      </c>
      <c r="E361" s="8">
        <v>5.8607964501351098E-2</v>
      </c>
      <c r="F361" s="17">
        <v>0.76280009999999998</v>
      </c>
    </row>
    <row r="362" spans="1:6" ht="60" customHeight="1" x14ac:dyDescent="0.25">
      <c r="A362" s="27">
        <v>359</v>
      </c>
      <c r="B362" s="28" t="s">
        <v>392</v>
      </c>
      <c r="C362" s="19" t="str">
        <f>HYPERLINK("https://portal.genego.com/cgi/entity_page.cgi?term=100&amp;id=-1262583804","INCENP")</f>
        <v>INCENP</v>
      </c>
      <c r="D362" s="19" t="str">
        <f>HYPERLINK("https://portal.genego.com/cgi/entity_page.cgi?term=20&amp;id=-454265880","INCENP")</f>
        <v>INCENP</v>
      </c>
      <c r="E362" s="16">
        <v>-5.0030278682017301E-2</v>
      </c>
      <c r="F362" s="17">
        <v>0.79500510000000002</v>
      </c>
    </row>
    <row r="363" spans="1:6" ht="60" customHeight="1" x14ac:dyDescent="0.25">
      <c r="A363" s="27">
        <v>360</v>
      </c>
      <c r="B363" s="28" t="s">
        <v>393</v>
      </c>
      <c r="C363" s="19" t="str">
        <f>HYPERLINK("https://portal.genego.com/cgi/entity_page.cgi?term=100&amp;id=-11948255","IPP-2")</f>
        <v>IPP-2</v>
      </c>
      <c r="D363" s="19" t="str">
        <f>HYPERLINK("https://portal.genego.com/cgi/entity_page.cgi?term=20&amp;id=264512357","PPP1R2")</f>
        <v>PPP1R2</v>
      </c>
      <c r="E363" s="8">
        <v>7.5877686616735093E-2</v>
      </c>
      <c r="F363" s="17">
        <v>0.67579820000000002</v>
      </c>
    </row>
    <row r="364" spans="1:6" ht="60" customHeight="1" x14ac:dyDescent="0.25">
      <c r="A364" s="27">
        <v>361</v>
      </c>
      <c r="B364" s="28" t="s">
        <v>394</v>
      </c>
      <c r="C364" s="19" t="str">
        <f>HYPERLINK("https://portal.genego.com/cgi/entity_page.cgi?term=100&amp;id=4212","IRF1")</f>
        <v>IRF1</v>
      </c>
      <c r="D364" s="19" t="str">
        <f>HYPERLINK("https://portal.genego.com/cgi/entity_page.cgi?term=20&amp;id=1225268353","IRF1")</f>
        <v>IRF1</v>
      </c>
      <c r="E364" s="15">
        <v>-0.15287707942210399</v>
      </c>
      <c r="F364" s="17">
        <v>0.33505420000000002</v>
      </c>
    </row>
    <row r="365" spans="1:6" ht="60" customHeight="1" x14ac:dyDescent="0.25">
      <c r="A365" s="27">
        <v>362</v>
      </c>
      <c r="B365" s="28" t="s">
        <v>395</v>
      </c>
      <c r="C365" s="19" t="str">
        <f>HYPERLINK("https://portal.genego.com/cgi/entity_page.cgi?term=100&amp;id=2557","IRF3")</f>
        <v>IRF3</v>
      </c>
      <c r="D365" s="19" t="str">
        <f>HYPERLINK("https://portal.genego.com/cgi/entity_page.cgi?term=20&amp;id=-1294572042","IRF3")</f>
        <v>IRF3</v>
      </c>
      <c r="E365" s="16">
        <v>-6.4187383857972194E-2</v>
      </c>
      <c r="F365" s="17">
        <v>0.73187100000000005</v>
      </c>
    </row>
    <row r="366" spans="1:6" ht="60" customHeight="1" x14ac:dyDescent="0.25">
      <c r="A366" s="27">
        <v>363</v>
      </c>
      <c r="B366" s="28" t="s">
        <v>396</v>
      </c>
      <c r="C366" s="19" t="str">
        <f>HYPERLINK("https://portal.genego.com/cgi/entity_page.cgi?term=100&amp;id=427","IRS-1")</f>
        <v>IRS-1</v>
      </c>
      <c r="D366" s="19" t="str">
        <f>HYPERLINK("https://portal.genego.com/cgi/entity_page.cgi?term=20&amp;id=1035396776","IRS1")</f>
        <v>IRS1</v>
      </c>
      <c r="E366" s="15">
        <v>-0.210283037184709</v>
      </c>
      <c r="F366" s="17">
        <v>0.2488175</v>
      </c>
    </row>
    <row r="367" spans="1:6" ht="60" customHeight="1" x14ac:dyDescent="0.25">
      <c r="A367" s="27">
        <v>364</v>
      </c>
      <c r="B367" s="28" t="s">
        <v>397</v>
      </c>
      <c r="C367" s="19" t="str">
        <f>HYPERLINK("https://portal.genego.com/cgi/entity_page.cgi?term=100&amp;id=2377","IRS-2")</f>
        <v>IRS-2</v>
      </c>
      <c r="D367" s="19" t="str">
        <f>HYPERLINK("https://portal.genego.com/cgi/entity_page.cgi?term=20&amp;id=1071318184","IRS2")</f>
        <v>IRS2</v>
      </c>
      <c r="E367" s="14">
        <v>-0.42256955666422702</v>
      </c>
      <c r="F367" s="17">
        <v>1.7586939999999999E-2</v>
      </c>
    </row>
    <row r="368" spans="1:6" ht="60" customHeight="1" x14ac:dyDescent="0.25">
      <c r="A368" s="27">
        <v>365</v>
      </c>
      <c r="B368" s="28" t="s">
        <v>398</v>
      </c>
      <c r="C368" s="19" t="str">
        <f>HYPERLINK("https://portal.genego.com/cgi/entity_page.cgi?term=100&amp;id=4618","ITGB2")</f>
        <v>ITGB2</v>
      </c>
      <c r="D368" s="19" t="str">
        <f>HYPERLINK("https://portal.genego.com/cgi/entity_page.cgi?term=20&amp;id=1711494516","ITGB2")</f>
        <v>ITGB2</v>
      </c>
      <c r="E368" s="8">
        <v>1.2058773763201301E-2</v>
      </c>
      <c r="F368" s="17">
        <v>0.93447760000000002</v>
      </c>
    </row>
    <row r="369" spans="1:6" ht="60" customHeight="1" x14ac:dyDescent="0.25">
      <c r="A369" s="27">
        <v>366</v>
      </c>
      <c r="B369" s="28" t="s">
        <v>399</v>
      </c>
      <c r="C369" s="19" t="str">
        <f>HYPERLINK("https://portal.genego.com/cgi/entity_page.cgi?term=100&amp;id=8160","ITGB3")</f>
        <v>ITGB3</v>
      </c>
      <c r="D369" s="19" t="str">
        <f>HYPERLINK("https://portal.genego.com/cgi/entity_page.cgi?term=20&amp;id=1927843014","ITGB3")</f>
        <v>ITGB3</v>
      </c>
      <c r="E369" s="7">
        <v>0.229761864425268</v>
      </c>
      <c r="F369" s="17">
        <v>0.22668540000000001</v>
      </c>
    </row>
    <row r="370" spans="1:6" ht="60" customHeight="1" x14ac:dyDescent="0.25">
      <c r="A370" s="27">
        <v>367</v>
      </c>
      <c r="B370" s="28" t="s">
        <v>400</v>
      </c>
      <c r="C370" s="19" t="str">
        <f>HYPERLINK("https://portal.genego.com/cgi/entity_page.cgi?term=100&amp;id=1004","Insulin receptor")</f>
        <v>Insulin receptor</v>
      </c>
      <c r="D370" s="19" t="str">
        <f>HYPERLINK("https://portal.genego.com/cgi/entity_page.cgi?term=20&amp;id=-491645058","INSR")</f>
        <v>INSR</v>
      </c>
      <c r="E370" s="15">
        <v>-0.12019537138872199</v>
      </c>
      <c r="F370" s="17">
        <v>0.50705549999999999</v>
      </c>
    </row>
    <row r="371" spans="1:6" ht="60" customHeight="1" x14ac:dyDescent="0.25">
      <c r="A371" s="27">
        <v>368</v>
      </c>
      <c r="B371" s="28" t="s">
        <v>401</v>
      </c>
      <c r="C371" s="19" t="str">
        <f>HYPERLINK("https://portal.genego.com/cgi/entity_page.cgi?term=100&amp;id=-554118544","Inversin")</f>
        <v>Inversin</v>
      </c>
      <c r="D371" s="19" t="str">
        <f>HYPERLINK("https://portal.genego.com/cgi/entity_page.cgi?term=20&amp;id=668294565","INVS")</f>
        <v>INVS</v>
      </c>
      <c r="E371" s="8">
        <v>4.7577997496309102E-2</v>
      </c>
      <c r="F371" s="17">
        <v>0.80937749999999997</v>
      </c>
    </row>
    <row r="372" spans="1:6" ht="60" customHeight="1" x14ac:dyDescent="0.25">
      <c r="A372" s="27">
        <v>369</v>
      </c>
      <c r="B372" s="28" t="s">
        <v>402</v>
      </c>
      <c r="C372" s="19" t="str">
        <f>HYPERLINK("https://portal.genego.com/cgi/entity_page.cgi?term=100&amp;id=9172","Itch")</f>
        <v>Itch</v>
      </c>
      <c r="D372" s="19" t="str">
        <f>HYPERLINK("https://portal.genego.com/cgi/entity_page.cgi?term=20&amp;id=130379949","ITCH")</f>
        <v>ITCH</v>
      </c>
      <c r="E372" s="7">
        <v>0.16295576213413601</v>
      </c>
      <c r="F372" s="17">
        <v>0.36318309999999998</v>
      </c>
    </row>
    <row r="373" spans="1:6" ht="60" customHeight="1" x14ac:dyDescent="0.25">
      <c r="A373" s="27">
        <v>370</v>
      </c>
      <c r="B373" s="28" t="s">
        <v>403</v>
      </c>
      <c r="C373" s="19" t="str">
        <f>HYPERLINK("https://portal.genego.com/cgi/entity_page.cgi?term=100&amp;id=430","JAB1")</f>
        <v>JAB1</v>
      </c>
      <c r="D373" s="19" t="str">
        <f>HYPERLINK("https://portal.genego.com/cgi/entity_page.cgi?term=20&amp;id=-1557243699","COPS5")</f>
        <v>COPS5</v>
      </c>
      <c r="E373" s="15">
        <v>-9.4980815773406696E-2</v>
      </c>
      <c r="F373" s="17">
        <v>0.58376649999999997</v>
      </c>
    </row>
    <row r="374" spans="1:6" ht="60" customHeight="1" x14ac:dyDescent="0.25">
      <c r="A374" s="27">
        <v>371</v>
      </c>
      <c r="B374" s="28" t="s">
        <v>404</v>
      </c>
      <c r="C374" s="19" t="str">
        <f>HYPERLINK("https://portal.genego.com/cgi/entity_page.cgi?term=100&amp;id=431","JAK1")</f>
        <v>JAK1</v>
      </c>
      <c r="D374" s="19" t="str">
        <f>HYPERLINK("https://portal.genego.com/cgi/entity_page.cgi?term=20&amp;id=1222870575","JAK1")</f>
        <v>JAK1</v>
      </c>
      <c r="E374" s="7">
        <v>0.18249781719535599</v>
      </c>
      <c r="F374" s="17">
        <v>0.28704770000000002</v>
      </c>
    </row>
    <row r="375" spans="1:6" ht="60" customHeight="1" x14ac:dyDescent="0.25">
      <c r="A375" s="27">
        <v>372</v>
      </c>
      <c r="B375" s="28" t="s">
        <v>405</v>
      </c>
      <c r="C375" s="19" t="str">
        <f>HYPERLINK("https://portal.genego.com/cgi/entity_page.cgi?term=100&amp;id=432","JAK2")</f>
        <v>JAK2</v>
      </c>
      <c r="D375" s="19" t="str">
        <f>HYPERLINK("https://portal.genego.com/cgi/entity_page.cgi?term=20&amp;id=-931658071","JAK2")</f>
        <v>JAK2</v>
      </c>
      <c r="E375" s="7">
        <v>0.18678872779434399</v>
      </c>
      <c r="F375" s="17">
        <v>0.31395430000000002</v>
      </c>
    </row>
    <row r="376" spans="1:6" ht="60" customHeight="1" x14ac:dyDescent="0.25">
      <c r="A376" s="27">
        <v>373</v>
      </c>
      <c r="B376" s="28" t="s">
        <v>406</v>
      </c>
      <c r="C376" s="19" t="str">
        <f>HYPERLINK("https://portal.genego.com/cgi/entity_page.cgi?term=100&amp;id=2440","JAK3")</f>
        <v>JAK3</v>
      </c>
      <c r="D376" s="19" t="str">
        <f>HYPERLINK("https://portal.genego.com/cgi/entity_page.cgi?term=20&amp;id=-72943665","JAK3")</f>
        <v>JAK3</v>
      </c>
      <c r="E376" s="8">
        <v>5.9273187278098896E-3</v>
      </c>
      <c r="F376" s="17">
        <v>1</v>
      </c>
    </row>
    <row r="377" spans="1:6" ht="60" customHeight="1" x14ac:dyDescent="0.25">
      <c r="A377" s="27">
        <v>374</v>
      </c>
      <c r="B377" s="28" t="s">
        <v>407</v>
      </c>
      <c r="C377" s="19" t="str">
        <f>HYPERLINK("https://portal.genego.com/cgi/entity_page.cgi?term=100&amp;id=-1583277997","JIK")</f>
        <v>JIK</v>
      </c>
      <c r="D377" s="19" t="str">
        <f>HYPERLINK("https://portal.genego.com/cgi/entity_page.cgi?term=20&amp;id=1899637145","TAOK3")</f>
        <v>TAOK3</v>
      </c>
      <c r="E377" s="8">
        <v>0.10892206609707999</v>
      </c>
      <c r="F377" s="17">
        <v>0.54435979999999995</v>
      </c>
    </row>
    <row r="378" spans="1:6" ht="60" customHeight="1" x14ac:dyDescent="0.25">
      <c r="A378" s="27">
        <v>375</v>
      </c>
      <c r="B378" s="28" t="s">
        <v>408</v>
      </c>
      <c r="C378" s="19" t="str">
        <f>HYPERLINK("https://portal.genego.com/cgi/entity_page.cgi?term=100&amp;id=8113","JNK1(MAPK8)")</f>
        <v>JNK1(MAPK8)</v>
      </c>
      <c r="D378" s="19" t="str">
        <f>HYPERLINK("https://portal.genego.com/cgi/entity_page.cgi?term=20&amp;id=1904012020","MAPK8")</f>
        <v>MAPK8</v>
      </c>
      <c r="E378" s="8">
        <v>3.9506042440333698E-2</v>
      </c>
      <c r="F378" s="17">
        <v>0.84146160000000003</v>
      </c>
    </row>
    <row r="379" spans="1:6" ht="60" customHeight="1" x14ac:dyDescent="0.25">
      <c r="A379" s="27">
        <v>376</v>
      </c>
      <c r="B379" s="28" t="s">
        <v>409</v>
      </c>
      <c r="C379" s="19" t="str">
        <f>HYPERLINK("https://portal.genego.com/cgi/entity_page.cgi?term=100&amp;id=2222","JNK2(MAPK9)")</f>
        <v>JNK2(MAPK9)</v>
      </c>
      <c r="D379" s="19" t="str">
        <f>HYPERLINK("https://portal.genego.com/cgi/entity_page.cgi?term=20&amp;id=-1115006125","MAPK9")</f>
        <v>MAPK9</v>
      </c>
      <c r="E379" s="8">
        <v>8.3275126606011898E-2</v>
      </c>
      <c r="F379" s="17">
        <v>0.63472360000000005</v>
      </c>
    </row>
    <row r="380" spans="1:6" ht="60" customHeight="1" x14ac:dyDescent="0.25">
      <c r="A380" s="27">
        <v>377</v>
      </c>
      <c r="B380" s="28" t="s">
        <v>410</v>
      </c>
      <c r="C380" s="19" t="str">
        <f>HYPERLINK("https://portal.genego.com/cgi/entity_page.cgi?term=100&amp;id=2846","JunB")</f>
        <v>JunB</v>
      </c>
      <c r="D380" s="19" t="str">
        <f>HYPERLINK("https://portal.genego.com/cgi/entity_page.cgi?term=20&amp;id=-544147176","JUNB")</f>
        <v>JUNB</v>
      </c>
      <c r="E380" s="15">
        <v>-0.17890810355190101</v>
      </c>
      <c r="F380" s="17">
        <v>0.31612499999999999</v>
      </c>
    </row>
    <row r="381" spans="1:6" ht="60" customHeight="1" x14ac:dyDescent="0.25">
      <c r="A381" s="27">
        <v>378</v>
      </c>
      <c r="B381" s="28" t="s">
        <v>411</v>
      </c>
      <c r="C381" s="19" t="str">
        <f>HYPERLINK("https://portal.genego.com/cgi/entity_page.cgi?term=100&amp;id=4372","JunD")</f>
        <v>JunD</v>
      </c>
      <c r="D381" s="19" t="str">
        <f>HYPERLINK("https://portal.genego.com/cgi/entity_page.cgi?term=20&amp;id=1514625337","JUND")</f>
        <v>JUND</v>
      </c>
      <c r="E381" s="15">
        <v>-0.26320294720044302</v>
      </c>
      <c r="F381" s="17">
        <v>0.1181712</v>
      </c>
    </row>
    <row r="382" spans="1:6" ht="60" customHeight="1" x14ac:dyDescent="0.25">
      <c r="A382" s="27">
        <v>379</v>
      </c>
      <c r="B382" s="28" t="s">
        <v>412</v>
      </c>
      <c r="C382" s="19" t="str">
        <f>HYPERLINK("https://portal.genego.com/cgi/entity_page.cgi?term=100&amp;id=4208","K-RAS")</f>
        <v>K-RAS</v>
      </c>
      <c r="D382" s="19" t="str">
        <f>HYPERLINK("https://portal.genego.com/cgi/entity_page.cgi?term=20&amp;id=-938170776","KRAS")</f>
        <v>KRAS</v>
      </c>
      <c r="E382" s="16">
        <v>-3.5956881234514598E-2</v>
      </c>
      <c r="F382" s="17">
        <v>0.85422189999999998</v>
      </c>
    </row>
    <row r="383" spans="1:6" ht="60" customHeight="1" x14ac:dyDescent="0.25">
      <c r="A383" s="27">
        <v>380</v>
      </c>
      <c r="B383" s="28" t="s">
        <v>413</v>
      </c>
      <c r="C383" s="19" t="str">
        <f>HYPERLINK("https://portal.genego.com/cgi/entity_page.cgi?term=100&amp;id=-1289016605","KIBRA")</f>
        <v>KIBRA</v>
      </c>
      <c r="D383" s="19" t="str">
        <f>HYPERLINK("https://portal.genego.com/cgi/entity_page.cgi?term=20&amp;id=23286","WWC1")</f>
        <v>WWC1</v>
      </c>
      <c r="E383" s="7">
        <v>0.20815044106615799</v>
      </c>
      <c r="F383" s="17">
        <v>0.17633660000000001</v>
      </c>
    </row>
    <row r="384" spans="1:6" ht="60" customHeight="1" x14ac:dyDescent="0.25">
      <c r="A384" s="27">
        <v>381</v>
      </c>
      <c r="B384" s="28" t="s">
        <v>414</v>
      </c>
      <c r="C384" s="19" t="str">
        <f>HYPERLINK("https://portal.genego.com/cgi/entity_page.cgi?term=100&amp;id=-1810901581","KIF27")</f>
        <v>KIF27</v>
      </c>
      <c r="D384" s="19" t="str">
        <f>HYPERLINK("https://portal.genego.com/cgi/entity_page.cgi?term=20&amp;id=55582","KIF27")</f>
        <v>KIF27</v>
      </c>
      <c r="E384" s="8">
        <v>0.10118643609889499</v>
      </c>
      <c r="F384" s="17">
        <v>0.50424429999999998</v>
      </c>
    </row>
    <row r="385" spans="1:6" ht="60" customHeight="1" x14ac:dyDescent="0.25">
      <c r="A385" s="27">
        <v>382</v>
      </c>
      <c r="B385" s="28" t="s">
        <v>415</v>
      </c>
      <c r="C385" s="19" t="str">
        <f>HYPERLINK("https://portal.genego.com/cgi/entity_page.cgi?term=100&amp;id=-931569312","KIF3A")</f>
        <v>KIF3A</v>
      </c>
      <c r="D385" s="19" t="str">
        <f>HYPERLINK("https://portal.genego.com/cgi/entity_page.cgi?term=20&amp;id=1520500349","KIF3A")</f>
        <v>KIF3A</v>
      </c>
      <c r="E385" s="7">
        <v>0.15465163660693401</v>
      </c>
      <c r="F385" s="17">
        <v>0.39359650000000002</v>
      </c>
    </row>
    <row r="386" spans="1:6" ht="60" customHeight="1" x14ac:dyDescent="0.25">
      <c r="A386" s="27">
        <v>383</v>
      </c>
      <c r="B386" s="28" t="s">
        <v>416</v>
      </c>
      <c r="C386" s="19" t="str">
        <f>HYPERLINK("https://portal.genego.com/cgi/entity_page.cgi?term=100&amp;id=-2007163176","KLF4")</f>
        <v>KLF4</v>
      </c>
      <c r="D386" s="19" t="str">
        <f>HYPERLINK("https://portal.genego.com/cgi/entity_page.cgi?term=20&amp;id=-5625316","KLF4")</f>
        <v>KLF4</v>
      </c>
      <c r="E386" s="16">
        <v>-4.5858669060819701E-2</v>
      </c>
      <c r="F386" s="17">
        <v>0.76200009999999996</v>
      </c>
    </row>
    <row r="387" spans="1:6" ht="60" customHeight="1" x14ac:dyDescent="0.25">
      <c r="A387" s="27">
        <v>384</v>
      </c>
      <c r="B387" s="28" t="s">
        <v>417</v>
      </c>
      <c r="C387" s="19" t="str">
        <f>HYPERLINK("https://portal.genego.com/cgi/entity_page.cgi?term=100&amp;id=6004","KLF5")</f>
        <v>KLF5</v>
      </c>
      <c r="D387" s="19" t="str">
        <f>HYPERLINK("https://portal.genego.com/cgi/entity_page.cgi?term=20&amp;id=960664515","KLF5")</f>
        <v>KLF5</v>
      </c>
      <c r="E387" s="16">
        <v>-2.67257406086251E-2</v>
      </c>
      <c r="F387" s="17">
        <v>0.89579830000000005</v>
      </c>
    </row>
    <row r="388" spans="1:6" ht="60" customHeight="1" x14ac:dyDescent="0.25">
      <c r="A388" s="27">
        <v>385</v>
      </c>
      <c r="B388" s="28" t="s">
        <v>418</v>
      </c>
      <c r="C388" s="19" t="str">
        <f>HYPERLINK("https://portal.genego.com/cgi/entity_page.cgi?term=100&amp;id=-1143766394","KNSL1")</f>
        <v>KNSL1</v>
      </c>
      <c r="D388" s="19" t="str">
        <f>HYPERLINK("https://portal.genego.com/cgi/entity_page.cgi?term=20&amp;id=1888536455","KIF11")</f>
        <v>KIF11</v>
      </c>
      <c r="E388" s="14">
        <v>-0.34105432191306401</v>
      </c>
      <c r="F388" s="17">
        <v>9.5551709999999998E-2</v>
      </c>
    </row>
    <row r="389" spans="1:6" ht="60" customHeight="1" x14ac:dyDescent="0.25">
      <c r="A389" s="27">
        <v>386</v>
      </c>
      <c r="B389" s="28" t="s">
        <v>419</v>
      </c>
      <c r="C389" s="19" t="str">
        <f>HYPERLINK("https://portal.genego.com/cgi/entity_page.cgi?term=100&amp;id=-914865653","Karyopherin beta 1")</f>
        <v>Karyopherin beta 1</v>
      </c>
      <c r="D389" s="19" t="str">
        <f>HYPERLINK("https://portal.genego.com/cgi/entity_page.cgi?term=20&amp;id=1011431423","KPNB1")</f>
        <v>KPNB1</v>
      </c>
      <c r="E389" s="8">
        <v>3.0296912939349802E-2</v>
      </c>
      <c r="F389" s="17">
        <v>0.87629080000000004</v>
      </c>
    </row>
    <row r="390" spans="1:6" ht="60" customHeight="1" x14ac:dyDescent="0.25">
      <c r="A390" s="27">
        <v>387</v>
      </c>
      <c r="B390" s="28" t="s">
        <v>420</v>
      </c>
      <c r="C390" s="19" t="str">
        <f>HYPERLINK("https://portal.genego.com/cgi/entity_page.cgi?term=100&amp;id=-1070549139","Kid")</f>
        <v>Kid</v>
      </c>
      <c r="D390" s="19" t="str">
        <f>HYPERLINK("https://portal.genego.com/cgi/entity_page.cgi?term=20&amp;id=368366613","KIF22")</f>
        <v>KIF22</v>
      </c>
      <c r="E390" s="13">
        <v>-0.49397702181119302</v>
      </c>
      <c r="F390" s="17">
        <v>7.6937869999999997E-3</v>
      </c>
    </row>
    <row r="391" spans="1:6" ht="60" customHeight="1" x14ac:dyDescent="0.25">
      <c r="A391" s="27">
        <v>388</v>
      </c>
      <c r="B391" s="28" t="s">
        <v>421</v>
      </c>
      <c r="C391" s="19" t="str">
        <f>HYPERLINK("https://portal.genego.com/cgi/entity_page.cgi?term=100&amp;id=2631","Kinase MYT1")</f>
        <v>Kinase MYT1</v>
      </c>
      <c r="D391" s="19" t="str">
        <f>HYPERLINK("https://portal.genego.com/cgi/entity_page.cgi?term=20&amp;id=-1076382961","PKMYT1")</f>
        <v>PKMYT1</v>
      </c>
      <c r="E391" s="14">
        <v>-0.42524313392219298</v>
      </c>
      <c r="F391" s="17">
        <v>9.0034929999999999E-2</v>
      </c>
    </row>
    <row r="392" spans="1:6" ht="60" customHeight="1" x14ac:dyDescent="0.25">
      <c r="A392" s="27">
        <v>389</v>
      </c>
      <c r="B392" s="28" t="s">
        <v>422</v>
      </c>
      <c r="C392" s="19" t="str">
        <f>HYPERLINK("https://portal.genego.com/cgi/entity_page.cgi?term=100&amp;id=3013","Ku70")</f>
        <v>Ku70</v>
      </c>
      <c r="D392" s="19" t="str">
        <f>HYPERLINK("https://portal.genego.com/cgi/entity_page.cgi?term=20&amp;id=1654516691","XRCC6")</f>
        <v>XRCC6</v>
      </c>
      <c r="E392" s="15">
        <v>-0.15134445941684099</v>
      </c>
      <c r="F392" s="17">
        <v>0.35802299999999998</v>
      </c>
    </row>
    <row r="393" spans="1:6" ht="60" customHeight="1" x14ac:dyDescent="0.25">
      <c r="A393" s="27">
        <v>390</v>
      </c>
      <c r="B393" s="28" t="s">
        <v>423</v>
      </c>
      <c r="C393" s="19" t="str">
        <f>HYPERLINK("https://portal.genego.com/cgi/entity_page.cgi?term=100&amp;id=444","Ku80")</f>
        <v>Ku80</v>
      </c>
      <c r="D393" s="19" t="str">
        <f>HYPERLINK("https://portal.genego.com/cgi/entity_page.cgi?term=20&amp;id=-407367015","XRCC5")</f>
        <v>XRCC5</v>
      </c>
      <c r="E393" s="15">
        <v>-0.125276040330907</v>
      </c>
      <c r="F393" s="17">
        <v>0.3990224</v>
      </c>
    </row>
    <row r="394" spans="1:6" ht="60" customHeight="1" x14ac:dyDescent="0.25">
      <c r="A394" s="27">
        <v>391</v>
      </c>
      <c r="B394" s="28" t="s">
        <v>424</v>
      </c>
      <c r="C394" s="19" t="str">
        <f>HYPERLINK("https://portal.genego.com/cgi/entity_page.cgi?term=100&amp;id=4110","LARG")</f>
        <v>LARG</v>
      </c>
      <c r="D394" s="19" t="str">
        <f>HYPERLINK("https://portal.genego.com/cgi/entity_page.cgi?term=20&amp;id=-1717344294","ARHGEF12")</f>
        <v>ARHGEF12</v>
      </c>
      <c r="E394" s="7">
        <v>0.132450894372553</v>
      </c>
      <c r="F394" s="17">
        <v>0.47001179999999998</v>
      </c>
    </row>
    <row r="395" spans="1:6" ht="60" customHeight="1" x14ac:dyDescent="0.25">
      <c r="A395" s="27">
        <v>392</v>
      </c>
      <c r="B395" s="28" t="s">
        <v>425</v>
      </c>
      <c r="C395" s="19" t="str">
        <f>HYPERLINK("https://portal.genego.com/cgi/entity_page.cgi?term=100&amp;id=-1067276206","LATS1")</f>
        <v>LATS1</v>
      </c>
      <c r="D395" s="19" t="str">
        <f>HYPERLINK("https://portal.genego.com/cgi/entity_page.cgi?term=20&amp;id=-1988982144","LATS1")</f>
        <v>LATS1</v>
      </c>
      <c r="E395" s="7">
        <v>0.30872944034840799</v>
      </c>
      <c r="F395" s="17">
        <v>0.1524877</v>
      </c>
    </row>
    <row r="396" spans="1:6" ht="60" customHeight="1" x14ac:dyDescent="0.25">
      <c r="A396" s="27">
        <v>393</v>
      </c>
      <c r="B396" s="28" t="s">
        <v>426</v>
      </c>
      <c r="C396" s="19" t="str">
        <f>HYPERLINK("https://portal.genego.com/cgi/entity_page.cgi?term=100&amp;id=-354189108","LATS2")</f>
        <v>LATS2</v>
      </c>
      <c r="D396" s="19" t="str">
        <f>HYPERLINK("https://portal.genego.com/cgi/entity_page.cgi?term=20&amp;id=1726696362","LATS2")</f>
        <v>LATS2</v>
      </c>
      <c r="E396" s="7">
        <v>0.31936662822798001</v>
      </c>
      <c r="F396" s="17">
        <v>7.5577140000000001E-2</v>
      </c>
    </row>
    <row r="397" spans="1:6" ht="60" customHeight="1" x14ac:dyDescent="0.25">
      <c r="A397" s="27">
        <v>394</v>
      </c>
      <c r="B397" s="28" t="s">
        <v>427</v>
      </c>
      <c r="C397" s="19" t="str">
        <f>HYPERLINK("https://portal.genego.com/cgi/entity_page.cgi?term=100&amp;id=-91420061","LBH")</f>
        <v>LBH</v>
      </c>
      <c r="D397" s="19" t="str">
        <f>HYPERLINK("https://portal.genego.com/cgi/entity_page.cgi?term=20&amp;id=81606","LBH")</f>
        <v>LBH</v>
      </c>
      <c r="E397" s="14">
        <v>-0.30928758681529001</v>
      </c>
      <c r="F397" s="17">
        <v>1.372496E-2</v>
      </c>
    </row>
    <row r="398" spans="1:6" ht="60" customHeight="1" x14ac:dyDescent="0.25">
      <c r="A398" s="27">
        <v>395</v>
      </c>
      <c r="B398" s="28" t="s">
        <v>428</v>
      </c>
      <c r="C398" s="19" t="str">
        <f>HYPERLINK("https://portal.genego.com/cgi/entity_page.cgi?term=100&amp;id=7036","LIF")</f>
        <v>LIF</v>
      </c>
      <c r="D398" s="19" t="str">
        <f>HYPERLINK("https://portal.genego.com/cgi/entity_page.cgi?term=20&amp;id=373627014","LIF")</f>
        <v>LIF</v>
      </c>
      <c r="E398" s="7">
        <v>0.168786104166565</v>
      </c>
      <c r="F398" s="17">
        <v>0.28091129999999997</v>
      </c>
    </row>
    <row r="399" spans="1:6" ht="60" customHeight="1" x14ac:dyDescent="0.25">
      <c r="A399" s="27">
        <v>396</v>
      </c>
      <c r="B399" s="28" t="s">
        <v>429</v>
      </c>
      <c r="C399" s="19" t="str">
        <f>HYPERLINK("https://portal.genego.com/cgi/entity_page.cgi?term=100&amp;id=-1867300412","LIMD1")</f>
        <v>LIMD1</v>
      </c>
      <c r="D399" s="19" t="str">
        <f>HYPERLINK("https://portal.genego.com/cgi/entity_page.cgi?term=20&amp;id=737216675","LIMD1")</f>
        <v>LIMD1</v>
      </c>
      <c r="E399" s="7">
        <v>0.25412904688924198</v>
      </c>
      <c r="F399" s="17">
        <v>0.1223085</v>
      </c>
    </row>
    <row r="400" spans="1:6" ht="60" customHeight="1" x14ac:dyDescent="0.25">
      <c r="A400" s="27">
        <v>397</v>
      </c>
      <c r="B400" s="28" t="s">
        <v>430</v>
      </c>
      <c r="C400" s="19" t="str">
        <f>HYPERLINK("https://portal.genego.com/cgi/entity_page.cgi?term=100&amp;id=459","LIMK2")</f>
        <v>LIMK2</v>
      </c>
      <c r="D400" s="19" t="str">
        <f>HYPERLINK("https://portal.genego.com/cgi/entity_page.cgi?term=20&amp;id=28160911","LIMK2")</f>
        <v>LIMK2</v>
      </c>
      <c r="E400" s="15">
        <v>-0.23659402183280601</v>
      </c>
      <c r="F400" s="17">
        <v>0.1132761</v>
      </c>
    </row>
    <row r="401" spans="1:6" ht="60" customHeight="1" x14ac:dyDescent="0.25">
      <c r="A401" s="27">
        <v>398</v>
      </c>
      <c r="B401" s="28" t="s">
        <v>431</v>
      </c>
      <c r="C401" s="19" t="str">
        <f>HYPERLINK("https://portal.genego.com/cgi/entity_page.cgi?term=100&amp;id=-1021007589","LIPIN1")</f>
        <v>LIPIN1</v>
      </c>
      <c r="D401" s="19" t="str">
        <f>HYPERLINK("https://portal.genego.com/cgi/entity_page.cgi?term=20&amp;id=23175","LPIN1")</f>
        <v>LPIN1</v>
      </c>
      <c r="E401" s="16">
        <v>-8.1327284760836802E-4</v>
      </c>
      <c r="F401" s="17">
        <v>0.99760939999999998</v>
      </c>
    </row>
    <row r="402" spans="1:6" ht="60" customHeight="1" x14ac:dyDescent="0.25">
      <c r="A402" s="27">
        <v>399</v>
      </c>
      <c r="B402" s="28" t="s">
        <v>432</v>
      </c>
      <c r="C402" s="19" t="str">
        <f>HYPERLINK("https://portal.genego.com/cgi/entity_page.cgi?term=100&amp;id=-613591384","LKB1")</f>
        <v>LKB1</v>
      </c>
      <c r="D402" s="19" t="str">
        <f>HYPERLINK("https://portal.genego.com/cgi/entity_page.cgi?term=20&amp;id=-918102410","STK11")</f>
        <v>STK11</v>
      </c>
      <c r="E402" s="15">
        <v>-0.26227816214819</v>
      </c>
      <c r="F402" s="17">
        <v>0.1436268</v>
      </c>
    </row>
    <row r="403" spans="1:6" ht="60" customHeight="1" x14ac:dyDescent="0.25">
      <c r="A403" s="27">
        <v>400</v>
      </c>
      <c r="B403" s="28" t="s">
        <v>433</v>
      </c>
      <c r="C403" s="19" t="str">
        <f>HYPERLINK("https://portal.genego.com/cgi/entity_page.cgi?term=100&amp;id=7019","LPAR1")</f>
        <v>LPAR1</v>
      </c>
      <c r="D403" s="19" t="str">
        <f>HYPERLINK("https://portal.genego.com/cgi/entity_page.cgi?term=20&amp;id=-724410593","LPAR1")</f>
        <v>LPAR1</v>
      </c>
      <c r="E403" s="8">
        <v>1.29056258840437E-2</v>
      </c>
      <c r="F403" s="17">
        <v>0.94858969999999998</v>
      </c>
    </row>
    <row r="404" spans="1:6" ht="60" customHeight="1" x14ac:dyDescent="0.25">
      <c r="A404" s="27">
        <v>401</v>
      </c>
      <c r="B404" s="28" t="s">
        <v>434</v>
      </c>
      <c r="C404" s="19" t="str">
        <f>HYPERLINK("https://portal.genego.com/cgi/entity_page.cgi?term=100&amp;id=462998187","LPAR2")</f>
        <v>LPAR2</v>
      </c>
      <c r="D404" s="19" t="str">
        <f>HYPERLINK("https://portal.genego.com/cgi/entity_page.cgi?term=20&amp;id=594559158","LPAR2")</f>
        <v>LPAR2</v>
      </c>
      <c r="E404" s="16">
        <v>-7.0664389697183999E-2</v>
      </c>
      <c r="F404" s="17">
        <v>0.62238420000000005</v>
      </c>
    </row>
    <row r="405" spans="1:6" ht="60" customHeight="1" x14ac:dyDescent="0.25">
      <c r="A405" s="27">
        <v>402</v>
      </c>
      <c r="B405" s="28" t="s">
        <v>435</v>
      </c>
      <c r="C405" s="19" t="str">
        <f>HYPERLINK("https://portal.genego.com/cgi/entity_page.cgi?term=100&amp;id=-1016735551","LPAR3")</f>
        <v>LPAR3</v>
      </c>
      <c r="D405" s="19" t="str">
        <f>HYPERLINK("https://portal.genego.com/cgi/entity_page.cgi?term=20&amp;id=240014713","LPAR3")</f>
        <v>LPAR3</v>
      </c>
      <c r="E405" s="16">
        <v>-1.03744162057278E-2</v>
      </c>
      <c r="F405" s="17">
        <v>1</v>
      </c>
    </row>
    <row r="406" spans="1:6" ht="60" customHeight="1" x14ac:dyDescent="0.25">
      <c r="A406" s="27">
        <v>403</v>
      </c>
      <c r="B406" s="28" t="s">
        <v>436</v>
      </c>
      <c r="C406" s="19" t="str">
        <f>HYPERLINK("https://portal.genego.com/cgi/entity_page.cgi?term=100&amp;id=-1282993007","LPAR5")</f>
        <v>LPAR5</v>
      </c>
      <c r="D406" s="19" t="str">
        <f>HYPERLINK("https://portal.genego.com/cgi/entity_page.cgi?term=20&amp;id=1346740433","LPAR5")</f>
        <v>LPAR5</v>
      </c>
      <c r="E406" s="16">
        <v>-1.09963646471122E-2</v>
      </c>
      <c r="F406" s="17">
        <v>1</v>
      </c>
    </row>
    <row r="407" spans="1:6" ht="60" customHeight="1" x14ac:dyDescent="0.25">
      <c r="A407" s="27">
        <v>404</v>
      </c>
      <c r="B407" s="28" t="s">
        <v>437</v>
      </c>
      <c r="C407" s="19" t="str">
        <f>HYPERLINK("https://portal.genego.com/cgi/entity_page.cgi?term=100&amp;id=-114943505","LPAR6")</f>
        <v>LPAR6</v>
      </c>
      <c r="D407" s="19" t="str">
        <f>HYPERLINK("https://portal.genego.com/cgi/entity_page.cgi?term=20&amp;id=-490485611","LPAR6")</f>
        <v>LPAR6</v>
      </c>
      <c r="E407" s="16">
        <v>-2.1270142641685801E-2</v>
      </c>
      <c r="F407" s="17">
        <v>1</v>
      </c>
    </row>
    <row r="408" spans="1:6" ht="60" customHeight="1" x14ac:dyDescent="0.25">
      <c r="A408" s="27">
        <v>405</v>
      </c>
      <c r="B408" s="28" t="s">
        <v>438</v>
      </c>
      <c r="C408" s="19" t="str">
        <f>HYPERLINK("https://portal.genego.com/cgi/entity_page.cgi?term=100&amp;id=-1653380582","LRH1")</f>
        <v>LRH1</v>
      </c>
      <c r="D408" s="19" t="str">
        <f>HYPERLINK("https://portal.genego.com/cgi/entity_page.cgi?term=20&amp;id=1921089696","NR5A2")</f>
        <v>NR5A2</v>
      </c>
      <c r="E408" s="8">
        <v>2.8698612201995098E-4</v>
      </c>
      <c r="F408" s="17">
        <v>1</v>
      </c>
    </row>
    <row r="409" spans="1:6" ht="60" customHeight="1" x14ac:dyDescent="0.25">
      <c r="A409" s="27">
        <v>406</v>
      </c>
      <c r="B409" s="28" t="s">
        <v>439</v>
      </c>
      <c r="C409" s="19" t="str">
        <f>HYPERLINK("https://portal.genego.com/cgi/entity_page.cgi?term=100&amp;id=-1829992618","LRR-1")</f>
        <v>LRR-1</v>
      </c>
      <c r="D409" s="19" t="str">
        <f>HYPERLINK("https://portal.genego.com/cgi/entity_page.cgi?term=20&amp;id=122769","LRR1")</f>
        <v>LRR1</v>
      </c>
      <c r="E409" s="16">
        <v>-4.3313883134112399E-2</v>
      </c>
      <c r="F409" s="17">
        <v>0.82433350000000005</v>
      </c>
    </row>
    <row r="410" spans="1:6" ht="60" customHeight="1" x14ac:dyDescent="0.25">
      <c r="A410" s="27">
        <v>407</v>
      </c>
      <c r="B410" s="28" t="s">
        <v>440</v>
      </c>
      <c r="C410" s="19" t="str">
        <f>HYPERLINK("https://portal.genego.com/cgi/entity_page.cgi?term=100&amp;id=-81740248","La protein")</f>
        <v>La protein</v>
      </c>
      <c r="D410" s="19" t="str">
        <f>HYPERLINK("https://portal.genego.com/cgi/entity_page.cgi?term=20&amp;id=-1620207591","SSB")</f>
        <v>SSB</v>
      </c>
      <c r="E410" s="16">
        <v>-6.4460681148191604E-2</v>
      </c>
      <c r="F410" s="17">
        <v>0.70455389999999996</v>
      </c>
    </row>
    <row r="411" spans="1:6" ht="60" customHeight="1" x14ac:dyDescent="0.25">
      <c r="A411" s="27">
        <v>408</v>
      </c>
      <c r="B411" s="28" t="s">
        <v>441</v>
      </c>
      <c r="C411" s="19" t="str">
        <f>HYPERLINK("https://portal.genego.com/cgi/entity_page.cgi?term=100&amp;id=467","Lck")</f>
        <v>Lck</v>
      </c>
      <c r="D411" s="19" t="str">
        <f>HYPERLINK("https://portal.genego.com/cgi/entity_page.cgi?term=20&amp;id=-1935821835","LCK")</f>
        <v>LCK</v>
      </c>
      <c r="E411" s="16">
        <v>-4.1405931543024698E-3</v>
      </c>
      <c r="F411" s="17">
        <v>1</v>
      </c>
    </row>
    <row r="412" spans="1:6" ht="60" customHeight="1" x14ac:dyDescent="0.25">
      <c r="A412" s="27">
        <v>409</v>
      </c>
      <c r="B412" s="28" t="s">
        <v>442</v>
      </c>
      <c r="C412" s="19" t="str">
        <f>HYPERLINK("https://portal.genego.com/cgi/entity_page.cgi?term=100&amp;id=2186","Lef-1")</f>
        <v>Lef-1</v>
      </c>
      <c r="D412" s="19" t="str">
        <f>HYPERLINK("https://portal.genego.com/cgi/entity_page.cgi?term=20&amp;id=2011950078","LEF1")</f>
        <v>LEF1</v>
      </c>
      <c r="E412" s="14">
        <v>-0.41676742621274598</v>
      </c>
      <c r="F412" s="17">
        <v>4.102037E-2</v>
      </c>
    </row>
    <row r="413" spans="1:6" ht="60" customHeight="1" x14ac:dyDescent="0.25">
      <c r="A413" s="27">
        <v>410</v>
      </c>
      <c r="B413" s="28" t="s">
        <v>443</v>
      </c>
      <c r="C413" s="19" t="str">
        <f>HYPERLINK("https://portal.genego.com/cgi/entity_page.cgi?term=100&amp;id=-1379720244","Leukocyte elastase")</f>
        <v>Leukocyte elastase</v>
      </c>
      <c r="D413" s="19" t="str">
        <f>HYPERLINK("https://portal.genego.com/cgi/entity_page.cgi?term=20&amp;id=-1039383603","ELANE")</f>
        <v>ELANE</v>
      </c>
      <c r="E413" s="16">
        <v>-4.1405931543024698E-3</v>
      </c>
      <c r="F413" s="17">
        <v>1</v>
      </c>
    </row>
    <row r="414" spans="1:6" ht="60" customHeight="1" x14ac:dyDescent="0.25">
      <c r="A414" s="27">
        <v>411</v>
      </c>
      <c r="B414" s="28" t="s">
        <v>444</v>
      </c>
      <c r="C414" s="19" t="str">
        <f>HYPERLINK("https://portal.genego.com/cgi/entity_page.cgi?term=100&amp;id=469","Lyn")</f>
        <v>Lyn</v>
      </c>
      <c r="D414" s="19" t="str">
        <f>HYPERLINK("https://portal.genego.com/cgi/entity_page.cgi?term=20&amp;id=845421882","LYN")</f>
        <v>LYN</v>
      </c>
      <c r="E414" s="7">
        <v>0.15160443360465001</v>
      </c>
      <c r="F414" s="17">
        <v>0.37197269999999999</v>
      </c>
    </row>
    <row r="415" spans="1:6" ht="60" customHeight="1" x14ac:dyDescent="0.25">
      <c r="A415" s="27">
        <v>412</v>
      </c>
      <c r="B415" s="28" t="s">
        <v>445</v>
      </c>
      <c r="C415" s="19" t="str">
        <f>HYPERLINK("https://portal.genego.com/cgi/entity_page.cgi?term=100&amp;id=-355426689","MAD1 (mitotic checkpoint)")</f>
        <v>MAD1 (mitotic checkpoint)</v>
      </c>
      <c r="D415" s="19" t="str">
        <f>HYPERLINK("https://portal.genego.com/cgi/entity_page.cgi?term=20&amp;id=-1672874091","MAD1L1")</f>
        <v>MAD1L1</v>
      </c>
      <c r="E415" s="8">
        <v>0.106590534481584</v>
      </c>
      <c r="F415" s="17">
        <v>0.56068530000000005</v>
      </c>
    </row>
    <row r="416" spans="1:6" ht="60" customHeight="1" x14ac:dyDescent="0.25">
      <c r="A416" s="27">
        <v>413</v>
      </c>
      <c r="B416" s="28" t="s">
        <v>446</v>
      </c>
      <c r="C416" s="19" t="str">
        <f>HYPERLINK("https://portal.genego.com/cgi/entity_page.cgi?term=100&amp;id=-73098979","MAD2a")</f>
        <v>MAD2a</v>
      </c>
      <c r="D416" s="19" t="str">
        <f>HYPERLINK("https://portal.genego.com/cgi/entity_page.cgi?term=20&amp;id=1143895345","MAD2L1")</f>
        <v>MAD2L1</v>
      </c>
      <c r="E416" s="12">
        <v>-0.69687364159591503</v>
      </c>
      <c r="F416" s="17">
        <v>2.333514E-4</v>
      </c>
    </row>
    <row r="417" spans="1:6" ht="60" customHeight="1" x14ac:dyDescent="0.25">
      <c r="A417" s="27">
        <v>414</v>
      </c>
      <c r="B417" s="28" t="s">
        <v>447</v>
      </c>
      <c r="C417" s="19" t="str">
        <f>HYPERLINK("https://portal.genego.com/cgi/entity_page.cgi?term=100&amp;id=2290","MAD2b")</f>
        <v>MAD2b</v>
      </c>
      <c r="D417" s="19" t="str">
        <f>HYPERLINK("https://portal.genego.com/cgi/entity_page.cgi?term=20&amp;id=-1547254005","MAD2L2")</f>
        <v>MAD2L2</v>
      </c>
      <c r="E417" s="16">
        <v>-7.8040011308885604E-2</v>
      </c>
      <c r="F417" s="17">
        <v>0.67726229999999998</v>
      </c>
    </row>
    <row r="418" spans="1:6" ht="60" customHeight="1" x14ac:dyDescent="0.25">
      <c r="A418" s="27">
        <v>415</v>
      </c>
      <c r="B418" s="28" t="s">
        <v>448</v>
      </c>
      <c r="C418" s="19" t="str">
        <f>HYPERLINK("https://portal.genego.com/cgi/entity_page.cgi?term=100&amp;id=-1746515487","MAF1")</f>
        <v>MAF1</v>
      </c>
      <c r="D418" s="19" t="str">
        <f>HYPERLINK("https://portal.genego.com/cgi/entity_page.cgi?term=20&amp;id=84232","MAF1")</f>
        <v>MAF1</v>
      </c>
      <c r="E418" s="15">
        <v>-0.27158142736059199</v>
      </c>
      <c r="F418" s="17">
        <v>9.5551709999999998E-2</v>
      </c>
    </row>
    <row r="419" spans="1:6" ht="60" customHeight="1" x14ac:dyDescent="0.25">
      <c r="A419" s="27">
        <v>416</v>
      </c>
      <c r="B419" s="28" t="s">
        <v>449</v>
      </c>
      <c r="C419" s="19" t="str">
        <f>HYPERLINK("https://portal.genego.com/cgi/entity_page.cgi?term=100&amp;id=-2005571048","MALS-3")</f>
        <v>MALS-3</v>
      </c>
      <c r="D419" s="19" t="str">
        <f>HYPERLINK("https://portal.genego.com/cgi/entity_page.cgi?term=20&amp;id=55327","LIN7C")</f>
        <v>LIN7C</v>
      </c>
      <c r="E419" s="7">
        <v>0.13389020241291699</v>
      </c>
      <c r="F419" s="17">
        <v>0.4441929</v>
      </c>
    </row>
    <row r="420" spans="1:6" ht="60" customHeight="1" x14ac:dyDescent="0.25">
      <c r="A420" s="27">
        <v>417</v>
      </c>
      <c r="B420" s="28" t="s">
        <v>450</v>
      </c>
      <c r="C420" s="19" t="str">
        <f>HYPERLINK("https://portal.genego.com/cgi/entity_page.cgi?term=100&amp;id=2611","MAP2K5 (MEK5)")</f>
        <v>MAP2K5 (MEK5)</v>
      </c>
      <c r="D420" s="19" t="str">
        <f>HYPERLINK("https://portal.genego.com/cgi/entity_page.cgi?term=20&amp;id=1649385363","MAP2K5")</f>
        <v>MAP2K5</v>
      </c>
      <c r="E420" s="14">
        <v>-0.28607279306168298</v>
      </c>
      <c r="F420" s="17">
        <v>9.9448560000000005E-2</v>
      </c>
    </row>
    <row r="421" spans="1:6" ht="60" customHeight="1" x14ac:dyDescent="0.25">
      <c r="A421" s="27">
        <v>418</v>
      </c>
      <c r="B421" s="28" t="s">
        <v>451</v>
      </c>
      <c r="C421" s="19" t="str">
        <f>HYPERLINK("https://portal.genego.com/cgi/entity_page.cgi?term=100&amp;id=2105","MAPKAPK2")</f>
        <v>MAPKAPK2</v>
      </c>
      <c r="D421" s="19" t="str">
        <f>HYPERLINK("https://portal.genego.com/cgi/entity_page.cgi?term=20&amp;id=1494028409","MAPKAPK2")</f>
        <v>MAPKAPK2</v>
      </c>
      <c r="E421" s="8">
        <v>5.1067232105659201E-2</v>
      </c>
      <c r="F421" s="17">
        <v>0.77659849999999997</v>
      </c>
    </row>
    <row r="422" spans="1:6" ht="60" customHeight="1" x14ac:dyDescent="0.25">
      <c r="A422" s="27">
        <v>419</v>
      </c>
      <c r="B422" s="28" t="s">
        <v>452</v>
      </c>
      <c r="C422" s="19" t="str">
        <f>HYPERLINK("https://portal.genego.com/cgi/entity_page.cgi?term=100&amp;id=-1070463117","MARK1")</f>
        <v>MARK1</v>
      </c>
      <c r="D422" s="19" t="str">
        <f>HYPERLINK("https://portal.genego.com/cgi/entity_page.cgi?term=20&amp;id=-1625029802","MARK1")</f>
        <v>MARK1</v>
      </c>
      <c r="E422" s="16">
        <v>-1.3703914594742701E-2</v>
      </c>
      <c r="F422" s="17">
        <v>0.93782149999999997</v>
      </c>
    </row>
    <row r="423" spans="1:6" ht="60" customHeight="1" x14ac:dyDescent="0.25">
      <c r="A423" s="27">
        <v>420</v>
      </c>
      <c r="B423" s="28" t="s">
        <v>453</v>
      </c>
      <c r="C423" s="19" t="str">
        <f>HYPERLINK("https://portal.genego.com/cgi/entity_page.cgi?term=100&amp;id=-736522812","MARK4")</f>
        <v>MARK4</v>
      </c>
      <c r="D423" s="19" t="str">
        <f>HYPERLINK("https://portal.genego.com/cgi/entity_page.cgi?term=20&amp;id=57787","MARK4")</f>
        <v>MARK4</v>
      </c>
      <c r="E423" s="16">
        <v>-1.79638757269267E-2</v>
      </c>
      <c r="F423" s="17">
        <v>0.93006429999999995</v>
      </c>
    </row>
    <row r="424" spans="1:6" ht="60" customHeight="1" x14ac:dyDescent="0.25">
      <c r="A424" s="27">
        <v>421</v>
      </c>
      <c r="B424" s="28" t="s">
        <v>454</v>
      </c>
      <c r="C424" s="19" t="str">
        <f>HYPERLINK("https://portal.genego.com/cgi/entity_page.cgi?term=100&amp;id=-1671303766","MARKK")</f>
        <v>MARKK</v>
      </c>
      <c r="D424" s="19" t="str">
        <f>HYPERLINK("https://portal.genego.com/cgi/entity_page.cgi?term=20&amp;id=57551","TAOK1")</f>
        <v>TAOK1</v>
      </c>
      <c r="E424" s="8">
        <v>6.4690724521919096E-2</v>
      </c>
      <c r="F424" s="17">
        <v>0.5891786</v>
      </c>
    </row>
    <row r="425" spans="1:6" ht="60" customHeight="1" x14ac:dyDescent="0.25">
      <c r="A425" s="27">
        <v>422</v>
      </c>
      <c r="B425" s="28" t="s">
        <v>455</v>
      </c>
      <c r="C425" s="19" t="str">
        <f>HYPERLINK("https://portal.genego.com/cgi/entity_page.cgi?term=100&amp;id=-252773943","MASK")</f>
        <v>MASK</v>
      </c>
      <c r="D425" s="19" t="str">
        <f>HYPERLINK("https://portal.genego.com/cgi/entity_page.cgi?term=20&amp;id=54882","ANKHD1")</f>
        <v>ANKHD1</v>
      </c>
      <c r="E425" s="7">
        <v>0.12637771649990701</v>
      </c>
      <c r="F425" s="17">
        <v>0.48342269999999998</v>
      </c>
    </row>
    <row r="426" spans="1:6" ht="60" customHeight="1" x14ac:dyDescent="0.25">
      <c r="A426" s="27">
        <v>423</v>
      </c>
      <c r="B426" s="28"/>
      <c r="C426" s="19" t="str">
        <f>HYPERLINK("https://portal.genego.com/cgi/entity_page.cgi?term=100&amp;id=-252773943","MASK")</f>
        <v>MASK</v>
      </c>
      <c r="D426" s="19" t="str">
        <f>HYPERLINK("https://portal.genego.com/cgi/entity_page.cgi?term=20&amp;id=-1248077477","ANKHD1-EIF4EBP3")</f>
        <v>ANKHD1-EIF4EBP3</v>
      </c>
      <c r="E426" s="18"/>
      <c r="F426" s="17"/>
    </row>
    <row r="427" spans="1:6" ht="60" customHeight="1" x14ac:dyDescent="0.25">
      <c r="A427" s="27">
        <v>424</v>
      </c>
      <c r="B427" s="28" t="s">
        <v>456</v>
      </c>
      <c r="C427" s="19" t="str">
        <f>HYPERLINK("https://portal.genego.com/cgi/entity_page.cgi?term=100&amp;id=-114669043","MAT1")</f>
        <v>MAT1</v>
      </c>
      <c r="D427" s="19" t="str">
        <f>HYPERLINK("https://portal.genego.com/cgi/entity_page.cgi?term=20&amp;id=-1467919068","MNAT1")</f>
        <v>MNAT1</v>
      </c>
      <c r="E427" s="15">
        <v>-0.130667577157591</v>
      </c>
      <c r="F427" s="17">
        <v>0.45778000000000002</v>
      </c>
    </row>
    <row r="428" spans="1:6" ht="60" customHeight="1" x14ac:dyDescent="0.25">
      <c r="A428" s="27">
        <v>425</v>
      </c>
      <c r="B428" s="28" t="s">
        <v>457</v>
      </c>
      <c r="C428" s="19" t="str">
        <f>HYPERLINK("https://portal.genego.com/cgi/entity_page.cgi?term=100&amp;id=-123464782","MATE1")</f>
        <v>MATE1</v>
      </c>
      <c r="D428" s="19" t="str">
        <f>HYPERLINK("https://portal.genego.com/cgi/entity_page.cgi?term=20&amp;id=55244","SLC47A1")</f>
        <v>SLC47A1</v>
      </c>
      <c r="E428" s="14">
        <v>-0.31975004040896698</v>
      </c>
      <c r="F428" s="17">
        <v>0.1524877</v>
      </c>
    </row>
    <row r="429" spans="1:6" ht="60" customHeight="1" x14ac:dyDescent="0.25">
      <c r="A429" s="27">
        <v>426</v>
      </c>
      <c r="B429" s="28" t="s">
        <v>458</v>
      </c>
      <c r="C429" s="19" t="str">
        <f>HYPERLINK("https://portal.genego.com/cgi/entity_page.cgi?term=100&amp;id=-442349409","MATE2")</f>
        <v>MATE2</v>
      </c>
      <c r="D429" s="19" t="str">
        <f>HYPERLINK("https://portal.genego.com/cgi/entity_page.cgi?term=20&amp;id=146802","SLC47A2")</f>
        <v>SLC47A2</v>
      </c>
      <c r="E429" s="8">
        <v>1.4193361918106299E-2</v>
      </c>
      <c r="F429" s="17">
        <v>1</v>
      </c>
    </row>
    <row r="430" spans="1:6" ht="60" customHeight="1" x14ac:dyDescent="0.25">
      <c r="A430" s="27">
        <v>427</v>
      </c>
      <c r="B430" s="28" t="s">
        <v>459</v>
      </c>
      <c r="C430" s="19" t="str">
        <f>HYPERLINK("https://portal.genego.com/cgi/entity_page.cgi?term=100&amp;id=-1816599366","MCM10")</f>
        <v>MCM10</v>
      </c>
      <c r="D430" s="19" t="str">
        <f>HYPERLINK("https://portal.genego.com/cgi/entity_page.cgi?term=20&amp;id=55388","MCM10")</f>
        <v>MCM10</v>
      </c>
      <c r="E430" s="16">
        <v>-8.0027230754978002E-2</v>
      </c>
      <c r="F430" s="17">
        <v>0.66183579999999997</v>
      </c>
    </row>
    <row r="431" spans="1:6" ht="60" customHeight="1" x14ac:dyDescent="0.25">
      <c r="A431" s="27">
        <v>428</v>
      </c>
      <c r="B431" s="28" t="s">
        <v>460</v>
      </c>
      <c r="C431" s="19" t="str">
        <f>HYPERLINK("https://portal.genego.com/cgi/entity_page.cgi?term=100&amp;id=-53830653","MCM2")</f>
        <v>MCM2</v>
      </c>
      <c r="D431" s="19" t="str">
        <f>HYPERLINK("https://portal.genego.com/cgi/entity_page.cgi?term=20&amp;id=-1709613971","MCM2")</f>
        <v>MCM2</v>
      </c>
      <c r="E431" s="13">
        <v>-0.62556282778802597</v>
      </c>
      <c r="F431" s="17">
        <v>2.2121609999999999E-5</v>
      </c>
    </row>
    <row r="432" spans="1:6" ht="60" customHeight="1" x14ac:dyDescent="0.25">
      <c r="A432" s="27">
        <v>429</v>
      </c>
      <c r="B432" s="28" t="s">
        <v>461</v>
      </c>
      <c r="C432" s="19" t="str">
        <f>HYPERLINK("https://portal.genego.com/cgi/entity_page.cgi?term=100&amp;id=-762755568","MCM3")</f>
        <v>MCM3</v>
      </c>
      <c r="D432" s="19" t="str">
        <f>HYPERLINK("https://portal.genego.com/cgi/entity_page.cgi?term=20&amp;id=-1666071814","MCM3")</f>
        <v>MCM3</v>
      </c>
      <c r="E432" s="14">
        <v>-0.293621082443418</v>
      </c>
      <c r="F432" s="17">
        <v>5.1931919999999999E-2</v>
      </c>
    </row>
    <row r="433" spans="1:6" ht="60" customHeight="1" x14ac:dyDescent="0.25">
      <c r="A433" s="27">
        <v>430</v>
      </c>
      <c r="B433" s="28" t="s">
        <v>462</v>
      </c>
      <c r="C433" s="19" t="str">
        <f>HYPERLINK("https://portal.genego.com/cgi/entity_page.cgi?term=100&amp;id=-364222907","MCM4")</f>
        <v>MCM4</v>
      </c>
      <c r="D433" s="19" t="str">
        <f>HYPERLINK("https://portal.genego.com/cgi/entity_page.cgi?term=20&amp;id=-878855083","MCM4")</f>
        <v>MCM4</v>
      </c>
      <c r="E433" s="14">
        <v>-0.28773272366404101</v>
      </c>
      <c r="F433" s="17">
        <v>5.2730159999999998E-2</v>
      </c>
    </row>
    <row r="434" spans="1:6" ht="60" customHeight="1" x14ac:dyDescent="0.25">
      <c r="A434" s="27">
        <v>431</v>
      </c>
      <c r="B434" s="28" t="s">
        <v>463</v>
      </c>
      <c r="C434" s="19" t="str">
        <f>HYPERLINK("https://portal.genego.com/cgi/entity_page.cgi?term=100&amp;id=-1428154252","MCM5")</f>
        <v>MCM5</v>
      </c>
      <c r="D434" s="19" t="str">
        <f>HYPERLINK("https://portal.genego.com/cgi/entity_page.cgi?term=20&amp;id=-221975223","MCM5")</f>
        <v>MCM5</v>
      </c>
      <c r="E434" s="13">
        <v>-0.538695880575915</v>
      </c>
      <c r="F434" s="17">
        <v>2.3296079999999999E-3</v>
      </c>
    </row>
    <row r="435" spans="1:6" ht="60" customHeight="1" x14ac:dyDescent="0.25">
      <c r="A435" s="27">
        <v>432</v>
      </c>
      <c r="B435" s="28" t="s">
        <v>464</v>
      </c>
      <c r="C435" s="19" t="str">
        <f>HYPERLINK("https://portal.genego.com/cgi/entity_page.cgi?term=100&amp;id=-2147468253","MCT1 (SLC16A1)")</f>
        <v>MCT1 (SLC16A1)</v>
      </c>
      <c r="D435" s="19" t="str">
        <f>HYPERLINK("https://portal.genego.com/cgi/entity_page.cgi?term=20&amp;id=-1788661848","SLC16A1")</f>
        <v>SLC16A1</v>
      </c>
      <c r="E435" s="7">
        <v>0.167457795334853</v>
      </c>
      <c r="F435" s="17">
        <v>0.28651159999999998</v>
      </c>
    </row>
    <row r="436" spans="1:6" ht="60" customHeight="1" x14ac:dyDescent="0.25">
      <c r="A436" s="27">
        <v>433</v>
      </c>
      <c r="B436" s="28" t="s">
        <v>465</v>
      </c>
      <c r="C436" s="19" t="str">
        <f>HYPERLINK("https://portal.genego.com/cgi/entity_page.cgi?term=100&amp;id=-1512525534","MCT4")</f>
        <v>MCT4</v>
      </c>
      <c r="D436" s="19" t="str">
        <f>HYPERLINK("https://portal.genego.com/cgi/entity_page.cgi?term=20&amp;id=1087610814","SLC16A4")</f>
        <v>SLC16A4</v>
      </c>
      <c r="E436" s="15">
        <v>-0.10940381303499</v>
      </c>
      <c r="F436" s="17">
        <v>0.52190760000000003</v>
      </c>
    </row>
    <row r="437" spans="1:6" ht="60" customHeight="1" x14ac:dyDescent="0.25">
      <c r="A437" s="27">
        <v>434</v>
      </c>
      <c r="B437" s="28" t="s">
        <v>466</v>
      </c>
      <c r="C437" s="19" t="str">
        <f>HYPERLINK("https://portal.genego.com/cgi/entity_page.cgi?term=100&amp;id=-1884709499","MCU")</f>
        <v>MCU</v>
      </c>
      <c r="D437" s="19" t="str">
        <f>HYPERLINK("https://portal.genego.com/cgi/entity_page.cgi?term=20&amp;id=90550","MCU")</f>
        <v>MCU</v>
      </c>
      <c r="E437" s="16">
        <v>-6.2619366950285693E-2</v>
      </c>
      <c r="F437" s="17">
        <v>0.72527379999999997</v>
      </c>
    </row>
    <row r="438" spans="1:6" ht="60" customHeight="1" x14ac:dyDescent="0.25">
      <c r="A438" s="27">
        <v>435</v>
      </c>
      <c r="B438" s="28" t="s">
        <v>467</v>
      </c>
      <c r="C438" s="19" t="str">
        <f>HYPERLINK("https://portal.genego.com/cgi/entity_page.cgi?term=100&amp;id=482","MDM2")</f>
        <v>MDM2</v>
      </c>
      <c r="D438" s="19" t="str">
        <f>HYPERLINK("https://portal.genego.com/cgi/entity_page.cgi?term=20&amp;id=1020074003","MDM2")</f>
        <v>MDM2</v>
      </c>
      <c r="E438" s="6">
        <v>0.37579157320613998</v>
      </c>
      <c r="F438" s="17">
        <v>6.5606139999999993E-2</v>
      </c>
    </row>
    <row r="439" spans="1:6" ht="60" customHeight="1" x14ac:dyDescent="0.25">
      <c r="A439" s="27">
        <v>436</v>
      </c>
      <c r="B439" s="28" t="s">
        <v>468</v>
      </c>
      <c r="C439" s="19" t="str">
        <f>HYPERLINK("https://portal.genego.com/cgi/entity_page.cgi?term=100&amp;id=6298","MEF2A")</f>
        <v>MEF2A</v>
      </c>
      <c r="D439" s="19" t="str">
        <f>HYPERLINK("https://portal.genego.com/cgi/entity_page.cgi?term=20&amp;id=865599047","MEF2A")</f>
        <v>MEF2A</v>
      </c>
      <c r="E439" s="8">
        <v>6.9907098348171897E-3</v>
      </c>
      <c r="F439" s="17">
        <v>0.96942300000000003</v>
      </c>
    </row>
    <row r="440" spans="1:6" ht="60" customHeight="1" x14ac:dyDescent="0.25">
      <c r="A440" s="27">
        <v>437</v>
      </c>
      <c r="B440" s="28" t="s">
        <v>469</v>
      </c>
      <c r="C440" s="19" t="str">
        <f>HYPERLINK("https://portal.genego.com/cgi/entity_page.cgi?term=100&amp;id=6393","MEF2C")</f>
        <v>MEF2C</v>
      </c>
      <c r="D440" s="19" t="str">
        <f>HYPERLINK("https://portal.genego.com/cgi/entity_page.cgi?term=20&amp;id=134719403","MEF2C")</f>
        <v>MEF2C</v>
      </c>
      <c r="E440" s="6">
        <v>0.348362425753592</v>
      </c>
      <c r="F440" s="17">
        <v>0.11963310000000001</v>
      </c>
    </row>
    <row r="441" spans="1:6" ht="60" customHeight="1" x14ac:dyDescent="0.25">
      <c r="A441" s="27">
        <v>438</v>
      </c>
      <c r="B441" s="28" t="s">
        <v>470</v>
      </c>
      <c r="C441" s="19" t="str">
        <f>HYPERLINK("https://portal.genego.com/cgi/entity_page.cgi?term=100&amp;id=486","MEK1(MAP2K1)")</f>
        <v>MEK1(MAP2K1)</v>
      </c>
      <c r="D441" s="19" t="str">
        <f>HYPERLINK("https://portal.genego.com/cgi/entity_page.cgi?term=20&amp;id=-1290830615","MAP2K1")</f>
        <v>MAP2K1</v>
      </c>
      <c r="E441" s="8">
        <v>1.76000812345549E-2</v>
      </c>
      <c r="F441" s="17">
        <v>0.92863499999999999</v>
      </c>
    </row>
    <row r="442" spans="1:6" ht="60" customHeight="1" x14ac:dyDescent="0.25">
      <c r="A442" s="27">
        <v>439</v>
      </c>
      <c r="B442" s="28" t="s">
        <v>471</v>
      </c>
      <c r="C442" s="19" t="str">
        <f>HYPERLINK("https://portal.genego.com/cgi/entity_page.cgi?term=100&amp;id=487","MEK2(MAP2K2)")</f>
        <v>MEK2(MAP2K2)</v>
      </c>
      <c r="D442" s="19" t="str">
        <f>HYPERLINK("https://portal.genego.com/cgi/entity_page.cgi?term=20&amp;id=-192808585","MAP2K2")</f>
        <v>MAP2K2</v>
      </c>
      <c r="E442" s="14">
        <v>-0.40419882188227901</v>
      </c>
      <c r="F442" s="17">
        <v>3.0527120000000001E-2</v>
      </c>
    </row>
    <row r="443" spans="1:6" ht="60" customHeight="1" x14ac:dyDescent="0.25">
      <c r="A443" s="27">
        <v>440</v>
      </c>
      <c r="B443" s="28" t="s">
        <v>472</v>
      </c>
      <c r="C443" s="19" t="str">
        <f>HYPERLINK("https://portal.genego.com/cgi/entity_page.cgi?term=100&amp;id=2496","MEK3(MAP2K3)")</f>
        <v>MEK3(MAP2K3)</v>
      </c>
      <c r="D443" s="19" t="str">
        <f>HYPERLINK("https://portal.genego.com/cgi/entity_page.cgi?term=20&amp;id=1208744162","MAP2K3")</f>
        <v>MAP2K3</v>
      </c>
      <c r="E443" s="7">
        <v>0.23828848347867301</v>
      </c>
      <c r="F443" s="17">
        <v>0.13535700000000001</v>
      </c>
    </row>
    <row r="444" spans="1:6" ht="60" customHeight="1" x14ac:dyDescent="0.25">
      <c r="A444" s="27">
        <v>441</v>
      </c>
      <c r="B444" s="28" t="s">
        <v>473</v>
      </c>
      <c r="C444" s="19" t="str">
        <f>HYPERLINK("https://portal.genego.com/cgi/entity_page.cgi?term=100&amp;id=2092","MEK4(MAP2K4)")</f>
        <v>MEK4(MAP2K4)</v>
      </c>
      <c r="D444" s="19" t="str">
        <f>HYPERLINK("https://portal.genego.com/cgi/entity_page.cgi?term=20&amp;id=-1542787636","MAP2K4")</f>
        <v>MAP2K4</v>
      </c>
      <c r="E444" s="8">
        <v>6.6399519964296702E-2</v>
      </c>
      <c r="F444" s="17">
        <v>0.70548279999999997</v>
      </c>
    </row>
    <row r="445" spans="1:6" ht="60" customHeight="1" x14ac:dyDescent="0.25">
      <c r="A445" s="27">
        <v>442</v>
      </c>
      <c r="B445" s="28" t="s">
        <v>474</v>
      </c>
      <c r="C445" s="19" t="str">
        <f>HYPERLINK("https://portal.genego.com/cgi/entity_page.cgi?term=100&amp;id=2404","MEK6(MAP2K6)")</f>
        <v>MEK6(MAP2K6)</v>
      </c>
      <c r="D445" s="19" t="str">
        <f>HYPERLINK("https://portal.genego.com/cgi/entity_page.cgi?term=20&amp;id=1108982623","MAP2K6")</f>
        <v>MAP2K6</v>
      </c>
      <c r="E445" s="9">
        <v>-1.27111171469353</v>
      </c>
      <c r="F445" s="17">
        <v>1</v>
      </c>
    </row>
    <row r="446" spans="1:6" ht="60" customHeight="1" x14ac:dyDescent="0.25">
      <c r="A446" s="27">
        <v>443</v>
      </c>
      <c r="B446" s="28" t="s">
        <v>475</v>
      </c>
      <c r="C446" s="19" t="str">
        <f>HYPERLINK("https://portal.genego.com/cgi/entity_page.cgi?term=100&amp;id=488","MEKK1(MAP3K1)")</f>
        <v>MEKK1(MAP3K1)</v>
      </c>
      <c r="D446" s="19" t="str">
        <f>HYPERLINK("https://portal.genego.com/cgi/entity_page.cgi?term=20&amp;id=227342175","MAP3K1")</f>
        <v>MAP3K1</v>
      </c>
      <c r="E446" s="8">
        <v>5.0636640279183201E-2</v>
      </c>
      <c r="F446" s="17">
        <v>0.78334490000000001</v>
      </c>
    </row>
    <row r="447" spans="1:6" ht="60" customHeight="1" x14ac:dyDescent="0.25">
      <c r="A447" s="27">
        <v>444</v>
      </c>
      <c r="B447" s="28" t="s">
        <v>476</v>
      </c>
      <c r="C447" s="19" t="str">
        <f>HYPERLINK("https://portal.genego.com/cgi/entity_page.cgi?term=100&amp;id=2294","MEKK4(MAP3K4)")</f>
        <v>MEKK4(MAP3K4)</v>
      </c>
      <c r="D447" s="19" t="str">
        <f>HYPERLINK("https://portal.genego.com/cgi/entity_page.cgi?term=20&amp;id=1805626077","MAP3K4")</f>
        <v>MAP3K4</v>
      </c>
      <c r="E447" s="8">
        <v>2.25135555311851E-2</v>
      </c>
      <c r="F447" s="17">
        <v>0.91318449999999995</v>
      </c>
    </row>
    <row r="448" spans="1:6" ht="60" customHeight="1" x14ac:dyDescent="0.25">
      <c r="A448" s="27">
        <v>445</v>
      </c>
      <c r="B448" s="28" t="s">
        <v>477</v>
      </c>
      <c r="C448" s="19" t="str">
        <f>HYPERLINK("https://portal.genego.com/cgi/entity_page.cgi?term=100&amp;id=-1994669360","MENA")</f>
        <v>MENA</v>
      </c>
      <c r="D448" s="19" t="str">
        <f>HYPERLINK("https://portal.genego.com/cgi/entity_page.cgi?term=20&amp;id=-1808570800","ENAH")</f>
        <v>ENAH</v>
      </c>
      <c r="E448" s="7">
        <v>0.22459188215596401</v>
      </c>
      <c r="F448" s="17">
        <v>0.23028090000000001</v>
      </c>
    </row>
    <row r="449" spans="1:6" ht="60" customHeight="1" x14ac:dyDescent="0.25">
      <c r="A449" s="27">
        <v>446</v>
      </c>
      <c r="B449" s="28" t="s">
        <v>478</v>
      </c>
      <c r="C449" s="19" t="str">
        <f>HYPERLINK("https://portal.genego.com/cgi/entity_page.cgi?term=100&amp;id=-330588522","MGF")</f>
        <v>MGF</v>
      </c>
      <c r="D449" s="19" t="str">
        <f>HYPERLINK("https://portal.genego.com/cgi/entity_page.cgi?term=20&amp;id=733716785","KITLG")</f>
        <v>KITLG</v>
      </c>
      <c r="E449" s="5">
        <v>0.80558960566529103</v>
      </c>
      <c r="F449" s="17">
        <v>3.8735540000000001E-4</v>
      </c>
    </row>
    <row r="450" spans="1:6" ht="60" customHeight="1" x14ac:dyDescent="0.25">
      <c r="A450" s="27">
        <v>447</v>
      </c>
      <c r="B450" s="28" t="s">
        <v>479</v>
      </c>
      <c r="C450" s="19" t="str">
        <f>HYPERLINK("https://portal.genego.com/cgi/entity_page.cgi?term=100&amp;id=-316216813","MIP-1-alpha")</f>
        <v>MIP-1-alpha</v>
      </c>
      <c r="D450" s="19" t="str">
        <f>HYPERLINK("https://portal.genego.com/cgi/entity_page.cgi?term=20&amp;id=-2013238362","CCL3")</f>
        <v>CCL3</v>
      </c>
      <c r="E450" s="8">
        <v>4.3565247602976899E-2</v>
      </c>
      <c r="F450" s="17">
        <v>0.75718649999999998</v>
      </c>
    </row>
    <row r="451" spans="1:6" ht="60" customHeight="1" x14ac:dyDescent="0.25">
      <c r="A451" s="27">
        <v>448</v>
      </c>
      <c r="B451" s="28" t="s">
        <v>480</v>
      </c>
      <c r="C451" s="19" t="str">
        <f>HYPERLINK("https://portal.genego.com/cgi/entity_page.cgi?term=100&amp;id=493","MIP-1-beta")</f>
        <v>MIP-1-beta</v>
      </c>
      <c r="D451" s="19" t="str">
        <f>HYPERLINK("https://portal.genego.com/cgi/entity_page.cgi?term=20&amp;id=-2125509131","CCL4")</f>
        <v>CCL4</v>
      </c>
      <c r="E451" s="16">
        <v>-3.7598454415520798E-4</v>
      </c>
      <c r="F451" s="17">
        <v>1</v>
      </c>
    </row>
    <row r="452" spans="1:6" ht="60" customHeight="1" x14ac:dyDescent="0.25">
      <c r="A452" s="27">
        <v>449</v>
      </c>
      <c r="B452" s="28"/>
      <c r="C452" s="19" t="str">
        <f>HYPERLINK("https://portal.genego.com/cgi/entity_page.cgi?term=100&amp;id=493","MIP-1-beta")</f>
        <v>MIP-1-beta</v>
      </c>
      <c r="D452" s="19" t="str">
        <f>HYPERLINK("https://portal.genego.com/cgi/entity_page.cgi?term=20&amp;id=-567727595","CCL4L1")</f>
        <v>CCL4L1</v>
      </c>
      <c r="E452" s="18"/>
      <c r="F452" s="17"/>
    </row>
    <row r="453" spans="1:6" ht="60" customHeight="1" x14ac:dyDescent="0.25">
      <c r="A453" s="27">
        <v>450</v>
      </c>
      <c r="B453" s="28" t="s">
        <v>481</v>
      </c>
      <c r="C453" s="19" t="str">
        <f>HYPERLINK("https://portal.genego.com/cgi/entity_page.cgi?term=100&amp;id=-1360804310","MIS12")</f>
        <v>MIS12</v>
      </c>
      <c r="D453" s="19" t="str">
        <f>HYPERLINK("https://portal.genego.com/cgi/entity_page.cgi?term=20&amp;id=79003","MIS12")</f>
        <v>MIS12</v>
      </c>
      <c r="E453" s="8">
        <v>3.3155840207055899E-2</v>
      </c>
      <c r="F453" s="17">
        <v>0.86748519999999996</v>
      </c>
    </row>
    <row r="454" spans="1:6" ht="60" customHeight="1" x14ac:dyDescent="0.25">
      <c r="A454" s="27">
        <v>451</v>
      </c>
      <c r="B454" s="28" t="s">
        <v>482</v>
      </c>
      <c r="C454" s="19" t="str">
        <f>HYPERLINK("https://portal.genego.com/cgi/entity_page.cgi?term=100&amp;id=-89116649","MLCP (cat)")</f>
        <v>MLCP (cat)</v>
      </c>
      <c r="D454" s="19" t="str">
        <f>HYPERLINK("https://portal.genego.com/cgi/entity_page.cgi?term=20&amp;id=1135264479","PPP1CB")</f>
        <v>PPP1CB</v>
      </c>
      <c r="E454" s="16">
        <v>-8.7051800297806306E-2</v>
      </c>
      <c r="F454" s="17">
        <v>0.61987680000000001</v>
      </c>
    </row>
    <row r="455" spans="1:6" ht="60" customHeight="1" x14ac:dyDescent="0.25">
      <c r="A455" s="27">
        <v>452</v>
      </c>
      <c r="B455" s="28" t="s">
        <v>483</v>
      </c>
      <c r="C455" s="19" t="str">
        <f>HYPERLINK("https://portal.genego.com/cgi/entity_page.cgi?term=100&amp;id=-522195471","MLCP (reg)")</f>
        <v>MLCP (reg)</v>
      </c>
      <c r="D455" s="19" t="str">
        <f>HYPERLINK("https://portal.genego.com/cgi/entity_page.cgi?term=20&amp;id=-974388591","PPP1R12A")</f>
        <v>PPP1R12A</v>
      </c>
      <c r="E455" s="7">
        <v>0.122452061929128</v>
      </c>
      <c r="F455" s="17">
        <v>0.49954510000000002</v>
      </c>
    </row>
    <row r="456" spans="1:6" ht="60" customHeight="1" x14ac:dyDescent="0.25">
      <c r="A456" s="27">
        <v>453</v>
      </c>
      <c r="B456" s="28" t="s">
        <v>484</v>
      </c>
      <c r="C456" s="19" t="str">
        <f>HYPERLINK("https://portal.genego.com/cgi/entity_page.cgi?term=100&amp;id=2503","MLH1")</f>
        <v>MLH1</v>
      </c>
      <c r="D456" s="19" t="str">
        <f>HYPERLINK("https://portal.genego.com/cgi/entity_page.cgi?term=20&amp;id=1349948645","MLH1")</f>
        <v>MLH1</v>
      </c>
      <c r="E456" s="8">
        <v>5.3954062286754199E-3</v>
      </c>
      <c r="F456" s="17">
        <v>0.97972389999999998</v>
      </c>
    </row>
    <row r="457" spans="1:6" ht="60" customHeight="1" x14ac:dyDescent="0.25">
      <c r="A457" s="27">
        <v>454</v>
      </c>
      <c r="B457" s="28" t="s">
        <v>485</v>
      </c>
      <c r="C457" s="19" t="str">
        <f>HYPERLINK("https://portal.genego.com/cgi/entity_page.cgi?term=100&amp;id=-1097867397","MLK2(MAP3K10)")</f>
        <v>MLK2(MAP3K10)</v>
      </c>
      <c r="D457" s="19" t="str">
        <f>HYPERLINK("https://portal.genego.com/cgi/entity_page.cgi?term=20&amp;id=219830163","MAP3K10")</f>
        <v>MAP3K10</v>
      </c>
      <c r="E457" s="16">
        <v>-6.2522577777419902E-2</v>
      </c>
      <c r="F457" s="17">
        <v>0.73411839999999995</v>
      </c>
    </row>
    <row r="458" spans="1:6" ht="60" customHeight="1" x14ac:dyDescent="0.25">
      <c r="A458" s="27">
        <v>455</v>
      </c>
      <c r="B458" s="28" t="s">
        <v>486</v>
      </c>
      <c r="C458" s="19" t="str">
        <f>HYPERLINK("https://portal.genego.com/cgi/entity_page.cgi?term=100&amp;id=2614","MLK3(MAP3K11)")</f>
        <v>MLK3(MAP3K11)</v>
      </c>
      <c r="D458" s="19" t="str">
        <f>HYPERLINK("https://portal.genego.com/cgi/entity_page.cgi?term=20&amp;id=1768063345","MAP3K11")</f>
        <v>MAP3K11</v>
      </c>
      <c r="E458" s="15">
        <v>-0.15512623749190099</v>
      </c>
      <c r="F458" s="17">
        <v>0.38605679999999998</v>
      </c>
    </row>
    <row r="459" spans="1:6" ht="60" customHeight="1" x14ac:dyDescent="0.25">
      <c r="A459" s="27">
        <v>456</v>
      </c>
      <c r="B459" s="28" t="s">
        <v>487</v>
      </c>
      <c r="C459" s="19" t="str">
        <f>HYPERLINK("https://portal.genego.com/cgi/entity_page.cgi?term=100&amp;id=-1518824049","MMP-14")</f>
        <v>MMP-14</v>
      </c>
      <c r="D459" s="19" t="str">
        <f>HYPERLINK("https://portal.genego.com/cgi/entity_page.cgi?term=20&amp;id=1711069061","MMP14")</f>
        <v>MMP14</v>
      </c>
      <c r="E459" s="7">
        <v>0.237769680372174</v>
      </c>
      <c r="F459" s="17">
        <v>8.9155200000000004E-2</v>
      </c>
    </row>
    <row r="460" spans="1:6" ht="60" customHeight="1" x14ac:dyDescent="0.25">
      <c r="A460" s="27">
        <v>457</v>
      </c>
      <c r="B460" s="28" t="s">
        <v>488</v>
      </c>
      <c r="C460" s="19" t="str">
        <f>HYPERLINK("https://portal.genego.com/cgi/entity_page.cgi?term=100&amp;id=499","MMP-2")</f>
        <v>MMP-2</v>
      </c>
      <c r="D460" s="19" t="str">
        <f>HYPERLINK("https://portal.genego.com/cgi/entity_page.cgi?term=20&amp;id=-2123498703","MMP2")</f>
        <v>MMP2</v>
      </c>
      <c r="E460" s="15">
        <v>-0.26687696815329698</v>
      </c>
      <c r="F460" s="17">
        <v>6.2916449999999999E-2</v>
      </c>
    </row>
    <row r="461" spans="1:6" ht="60" customHeight="1" x14ac:dyDescent="0.25">
      <c r="A461" s="27">
        <v>458</v>
      </c>
      <c r="B461" s="28" t="s">
        <v>489</v>
      </c>
      <c r="C461" s="19" t="str">
        <f>HYPERLINK("https://portal.genego.com/cgi/entity_page.cgi?term=100&amp;id=4125","MMP-9")</f>
        <v>MMP-9</v>
      </c>
      <c r="D461" s="19" t="str">
        <f>HYPERLINK("https://portal.genego.com/cgi/entity_page.cgi?term=20&amp;id=1390764486","MMP9")</f>
        <v>MMP9</v>
      </c>
      <c r="E461" s="8">
        <v>2.0415519732997398E-3</v>
      </c>
      <c r="F461" s="17">
        <v>1</v>
      </c>
    </row>
    <row r="462" spans="1:6" ht="60" customHeight="1" x14ac:dyDescent="0.25">
      <c r="A462" s="27">
        <v>459</v>
      </c>
      <c r="B462" s="28" t="s">
        <v>490</v>
      </c>
      <c r="C462" s="19" t="str">
        <f>HYPERLINK("https://portal.genego.com/cgi/entity_page.cgi?term=100&amp;id=2173","MNK1")</f>
        <v>MNK1</v>
      </c>
      <c r="D462" s="19" t="str">
        <f>HYPERLINK("https://portal.genego.com/cgi/entity_page.cgi?term=20&amp;id=-1447844662","MKNK1")</f>
        <v>MKNK1</v>
      </c>
      <c r="E462" s="8">
        <v>4.4378050368411699E-2</v>
      </c>
      <c r="F462" s="17">
        <v>0.82158960000000003</v>
      </c>
    </row>
    <row r="463" spans="1:6" ht="60" customHeight="1" x14ac:dyDescent="0.25">
      <c r="A463" s="27">
        <v>460</v>
      </c>
      <c r="B463" s="28" t="s">
        <v>491</v>
      </c>
      <c r="C463" s="19" t="str">
        <f>HYPERLINK("https://portal.genego.com/cgi/entity_page.cgi?term=100&amp;id=-2110037491","MOBKL1A")</f>
        <v>MOBKL1A</v>
      </c>
      <c r="D463" s="19" t="str">
        <f>HYPERLINK("https://portal.genego.com/cgi/entity_page.cgi?term=20&amp;id=92597","MOB1B")</f>
        <v>MOB1B</v>
      </c>
      <c r="E463" s="7">
        <v>0.14523192278320099</v>
      </c>
      <c r="F463" s="17">
        <v>0.43481150000000002</v>
      </c>
    </row>
    <row r="464" spans="1:6" ht="60" customHeight="1" x14ac:dyDescent="0.25">
      <c r="A464" s="27">
        <v>461</v>
      </c>
      <c r="B464" s="28" t="s">
        <v>492</v>
      </c>
      <c r="C464" s="19" t="str">
        <f>HYPERLINK("https://portal.genego.com/cgi/entity_page.cgi?term=100&amp;id=-1292633725","MPP5")</f>
        <v>MPP5</v>
      </c>
      <c r="D464" s="19" t="str">
        <f>HYPERLINK("https://portal.genego.com/cgi/entity_page.cgi?term=20&amp;id=-344572590","MPP5")</f>
        <v>MPP5</v>
      </c>
      <c r="E464" s="7">
        <v>0.20650838733652399</v>
      </c>
      <c r="F464" s="17">
        <v>0.2653393</v>
      </c>
    </row>
    <row r="465" spans="1:6" ht="60" customHeight="1" x14ac:dyDescent="0.25">
      <c r="A465" s="27">
        <v>462</v>
      </c>
      <c r="B465" s="28" t="s">
        <v>493</v>
      </c>
      <c r="C465" s="19" t="str">
        <f>HYPERLINK("https://portal.genego.com/cgi/entity_page.cgi?term=100&amp;id=2501","MSH2")</f>
        <v>MSH2</v>
      </c>
      <c r="D465" s="19" t="str">
        <f>HYPERLINK("https://portal.genego.com/cgi/entity_page.cgi?term=20&amp;id=1624799205","MSH2")</f>
        <v>MSH2</v>
      </c>
      <c r="E465" s="15">
        <v>-0.13824843405641399</v>
      </c>
      <c r="F465" s="17">
        <v>0.42338160000000002</v>
      </c>
    </row>
    <row r="466" spans="1:6" ht="60" customHeight="1" x14ac:dyDescent="0.25">
      <c r="A466" s="27">
        <v>463</v>
      </c>
      <c r="B466" s="28" t="s">
        <v>494</v>
      </c>
      <c r="C466" s="19" t="str">
        <f>HYPERLINK("https://portal.genego.com/cgi/entity_page.cgi?term=100&amp;id=-621091832","MSH3")</f>
        <v>MSH3</v>
      </c>
      <c r="D466" s="19" t="str">
        <f>HYPERLINK("https://portal.genego.com/cgi/entity_page.cgi?term=20&amp;id=306709587","MSH3")</f>
        <v>MSH3</v>
      </c>
      <c r="E466" s="8">
        <v>7.2038404803441605E-2</v>
      </c>
      <c r="F466" s="17">
        <v>0.69252849999999999</v>
      </c>
    </row>
    <row r="467" spans="1:6" ht="60" customHeight="1" x14ac:dyDescent="0.25">
      <c r="A467" s="27">
        <v>464</v>
      </c>
      <c r="B467" s="28" t="s">
        <v>495</v>
      </c>
      <c r="C467" s="19" t="str">
        <f>HYPERLINK("https://portal.genego.com/cgi/entity_page.cgi?term=100&amp;id=2502","MSH6")</f>
        <v>MSH6</v>
      </c>
      <c r="D467" s="19" t="str">
        <f>HYPERLINK("https://portal.genego.com/cgi/entity_page.cgi?term=20&amp;id=-1039871678","MSH6")</f>
        <v>MSH6</v>
      </c>
      <c r="E467" s="15">
        <v>-0.18143601816362101</v>
      </c>
      <c r="F467" s="17">
        <v>0.19443060000000001</v>
      </c>
    </row>
    <row r="468" spans="1:6" ht="60" customHeight="1" x14ac:dyDescent="0.25">
      <c r="A468" s="27">
        <v>465</v>
      </c>
      <c r="B468" s="28" t="s">
        <v>496</v>
      </c>
      <c r="C468" s="19" t="str">
        <f>HYPERLINK("https://portal.genego.com/cgi/entity_page.cgi?term=100&amp;id=9085","MSK1")</f>
        <v>MSK1</v>
      </c>
      <c r="D468" s="19" t="str">
        <f>HYPERLINK("https://portal.genego.com/cgi/entity_page.cgi?term=20&amp;id=1580828698","RPS6KA5")</f>
        <v>RPS6KA5</v>
      </c>
      <c r="E468" s="16">
        <v>-4.48536852861703E-2</v>
      </c>
      <c r="F468" s="17">
        <v>1</v>
      </c>
    </row>
    <row r="469" spans="1:6" ht="60" customHeight="1" x14ac:dyDescent="0.25">
      <c r="A469" s="27">
        <v>466</v>
      </c>
      <c r="B469" s="28" t="s">
        <v>497</v>
      </c>
      <c r="C469" s="19" t="str">
        <f>HYPERLINK("https://portal.genego.com/cgi/entity_page.cgi?term=100&amp;id=-272963743","MSK2")</f>
        <v>MSK2</v>
      </c>
      <c r="D469" s="19" t="str">
        <f>HYPERLINK("https://portal.genego.com/cgi/entity_page.cgi?term=20&amp;id=190584926","RPS6KA4")</f>
        <v>RPS6KA4</v>
      </c>
      <c r="E469" s="8">
        <v>1.9902676261066301E-3</v>
      </c>
      <c r="F469" s="17">
        <v>0.99133830000000001</v>
      </c>
    </row>
    <row r="470" spans="1:6" ht="60" customHeight="1" x14ac:dyDescent="0.25">
      <c r="A470" s="27">
        <v>467</v>
      </c>
      <c r="B470" s="28" t="s">
        <v>498</v>
      </c>
      <c r="C470" s="19" t="str">
        <f>HYPERLINK("https://portal.genego.com/cgi/entity_page.cgi?term=100&amp;id=-1643280137","MTHFD2")</f>
        <v>MTHFD2</v>
      </c>
      <c r="D470" s="19" t="str">
        <f>HYPERLINK("https://portal.genego.com/cgi/entity_page.cgi?term=20&amp;id=-2082378796","MTHFD2")</f>
        <v>MTHFD2</v>
      </c>
      <c r="E470" s="7">
        <v>0.21213426599933699</v>
      </c>
      <c r="F470" s="17">
        <v>0.16473640000000001</v>
      </c>
    </row>
    <row r="471" spans="1:6" ht="60" customHeight="1" x14ac:dyDescent="0.25">
      <c r="A471" s="27">
        <v>468</v>
      </c>
      <c r="B471" s="28" t="s">
        <v>499</v>
      </c>
      <c r="C471" s="19" t="str">
        <f>HYPERLINK("https://portal.genego.com/cgi/entity_page.cgi?term=100&amp;id=-846870093","MVK")</f>
        <v>MVK</v>
      </c>
      <c r="D471" s="19" t="str">
        <f>HYPERLINK("https://portal.genego.com/cgi/entity_page.cgi?term=20&amp;id=-29483516","MVK")</f>
        <v>MVK</v>
      </c>
      <c r="E471" s="16">
        <v>-5.4929152666496603E-2</v>
      </c>
      <c r="F471" s="17">
        <v>0.77489859999999999</v>
      </c>
    </row>
    <row r="472" spans="1:6" ht="60" customHeight="1" x14ac:dyDescent="0.25">
      <c r="A472" s="27">
        <v>469</v>
      </c>
      <c r="B472" s="28" t="s">
        <v>500</v>
      </c>
      <c r="C472" s="19" t="str">
        <f>HYPERLINK("https://portal.genego.com/cgi/entity_page.cgi?term=100&amp;id=-2053879867","MYH11")</f>
        <v>MYH11</v>
      </c>
      <c r="D472" s="19" t="str">
        <f>HYPERLINK("https://portal.genego.com/cgi/entity_page.cgi?term=20&amp;id=1288892355","MYH11")</f>
        <v>MYH11</v>
      </c>
      <c r="E472" s="16">
        <v>-7.1692115562852002E-2</v>
      </c>
      <c r="F472" s="17">
        <v>1</v>
      </c>
    </row>
    <row r="473" spans="1:6" ht="60" customHeight="1" x14ac:dyDescent="0.25">
      <c r="A473" s="27">
        <v>470</v>
      </c>
      <c r="B473" s="28" t="s">
        <v>501</v>
      </c>
      <c r="C473" s="19" t="str">
        <f>HYPERLINK("https://portal.genego.com/cgi/entity_page.cgi?term=100&amp;id=-675560933","MYRL2")</f>
        <v>MYRL2</v>
      </c>
      <c r="D473" s="19" t="str">
        <f>HYPERLINK("https://portal.genego.com/cgi/entity_page.cgi?term=20&amp;id=-285991226","MYL9")</f>
        <v>MYL9</v>
      </c>
      <c r="E473" s="8">
        <v>0.111754917808779</v>
      </c>
      <c r="F473" s="17">
        <v>0.53478309999999996</v>
      </c>
    </row>
    <row r="474" spans="1:6" ht="60" customHeight="1" x14ac:dyDescent="0.25">
      <c r="A474" s="27">
        <v>471</v>
      </c>
      <c r="B474" s="28" t="s">
        <v>502</v>
      </c>
      <c r="C474" s="19" t="str">
        <f>HYPERLINK("https://portal.genego.com/cgi/entity_page.cgi?term=100&amp;id=503","Max")</f>
        <v>Max</v>
      </c>
      <c r="D474" s="19" t="str">
        <f>HYPERLINK("https://portal.genego.com/cgi/entity_page.cgi?term=20&amp;id=-735114609","MAX")</f>
        <v>MAX</v>
      </c>
      <c r="E474" s="16">
        <v>-1.38200775829354E-2</v>
      </c>
      <c r="F474" s="17">
        <v>0.94440020000000002</v>
      </c>
    </row>
    <row r="475" spans="1:6" ht="60" customHeight="1" x14ac:dyDescent="0.25">
      <c r="A475" s="27">
        <v>472</v>
      </c>
      <c r="B475" s="28" t="s">
        <v>503</v>
      </c>
      <c r="C475" s="19" t="str">
        <f>HYPERLINK("https://portal.genego.com/cgi/entity_page.cgi?term=100&amp;id=4088","Mcl-1")</f>
        <v>Mcl-1</v>
      </c>
      <c r="D475" s="19" t="str">
        <f>HYPERLINK("https://portal.genego.com/cgi/entity_page.cgi?term=20&amp;id=1840890488","MCL1")</f>
        <v>MCL1</v>
      </c>
      <c r="E475" s="7">
        <v>0.25386481747626899</v>
      </c>
      <c r="F475" s="17">
        <v>7.2156419999999999E-2</v>
      </c>
    </row>
    <row r="476" spans="1:6" ht="60" customHeight="1" x14ac:dyDescent="0.25">
      <c r="A476" s="27">
        <v>473</v>
      </c>
      <c r="B476" s="28" t="s">
        <v>504</v>
      </c>
      <c r="C476" s="19" t="str">
        <f>HYPERLINK("https://portal.genego.com/cgi/entity_page.cgi?term=100&amp;id=-956629432","Mol1b")</f>
        <v>Mol1b</v>
      </c>
      <c r="D476" s="19" t="str">
        <f>HYPERLINK("https://portal.genego.com/cgi/entity_page.cgi?term=20&amp;id=1157176187","MOB1A")</f>
        <v>MOB1A</v>
      </c>
      <c r="E476" s="8">
        <v>0.100523674475426</v>
      </c>
      <c r="F476" s="17">
        <v>0.56115429999999999</v>
      </c>
    </row>
    <row r="477" spans="1:6" ht="60" customHeight="1" x14ac:dyDescent="0.25">
      <c r="A477" s="27">
        <v>474</v>
      </c>
      <c r="B477" s="28" t="s">
        <v>505</v>
      </c>
      <c r="C477" s="19" t="str">
        <f>HYPERLINK("https://portal.genego.com/cgi/entity_page.cgi?term=100&amp;id=510","N-CoR")</f>
        <v>N-CoR</v>
      </c>
      <c r="D477" s="19" t="str">
        <f>HYPERLINK("https://portal.genego.com/cgi/entity_page.cgi?term=20&amp;id=490533528","NCOR1")</f>
        <v>NCOR1</v>
      </c>
      <c r="E477" s="8">
        <v>8.17127963484717E-2</v>
      </c>
      <c r="F477" s="17">
        <v>0.65369690000000003</v>
      </c>
    </row>
    <row r="478" spans="1:6" ht="60" customHeight="1" x14ac:dyDescent="0.25">
      <c r="A478" s="27">
        <v>475</v>
      </c>
      <c r="B478" s="28" t="s">
        <v>382</v>
      </c>
      <c r="C478" s="19" t="str">
        <f>HYPERLINK("https://portal.genego.com/cgi/entity_page.cgi?term=100&amp;id=-922330584","N-terminal IL16")</f>
        <v>N-terminal IL16</v>
      </c>
      <c r="D478" s="19" t="str">
        <f>HYPERLINK("https://portal.genego.com/cgi/entity_page.cgi?term=20&amp;id=1783576050","IL16")</f>
        <v>IL16</v>
      </c>
      <c r="E478" s="8">
        <v>4.2693362900934603E-2</v>
      </c>
      <c r="F478" s="17">
        <v>0.75618200000000002</v>
      </c>
    </row>
    <row r="479" spans="1:6" ht="60" customHeight="1" x14ac:dyDescent="0.25">
      <c r="A479" s="27">
        <v>476</v>
      </c>
      <c r="B479" s="28" t="s">
        <v>506</v>
      </c>
      <c r="C479" s="19" t="str">
        <f>HYPERLINK("https://portal.genego.com/cgi/entity_page.cgi?term=100&amp;id=-58564251","NAD synthetase 1")</f>
        <v>NAD synthetase 1</v>
      </c>
      <c r="D479" s="19" t="str">
        <f>HYPERLINK("https://portal.genego.com/cgi/entity_page.cgi?term=20&amp;id=55191","NADSYN1")</f>
        <v>NADSYN1</v>
      </c>
      <c r="E479" s="16">
        <v>-6.7455561966164104E-3</v>
      </c>
      <c r="F479" s="17">
        <v>0.97403600000000001</v>
      </c>
    </row>
    <row r="480" spans="1:6" ht="60" customHeight="1" x14ac:dyDescent="0.25">
      <c r="A480" s="27">
        <v>477</v>
      </c>
      <c r="B480" s="28" t="s">
        <v>507</v>
      </c>
      <c r="C480" s="19" t="str">
        <f>HYPERLINK("https://portal.genego.com/cgi/entity_page.cgi?term=100&amp;id=-1078541909","NADC")</f>
        <v>NADC</v>
      </c>
      <c r="D480" s="19" t="str">
        <f>HYPERLINK("https://portal.genego.com/cgi/entity_page.cgi?term=20&amp;id=561539198","QPRT")</f>
        <v>QPRT</v>
      </c>
      <c r="E480" s="13">
        <v>-0.60695305512372599</v>
      </c>
      <c r="F480" s="17">
        <v>6.2622460000000005E-2</v>
      </c>
    </row>
    <row r="481" spans="1:6" ht="60" customHeight="1" x14ac:dyDescent="0.25">
      <c r="A481" s="27">
        <v>478</v>
      </c>
      <c r="B481" s="28" t="s">
        <v>508</v>
      </c>
      <c r="C481" s="19" t="str">
        <f>HYPERLINK("https://portal.genego.com/cgi/entity_page.cgi?term=100&amp;id=-592889684","NANOG")</f>
        <v>NANOG</v>
      </c>
      <c r="D481" s="19" t="str">
        <f>HYPERLINK("https://portal.genego.com/cgi/entity_page.cgi?term=20&amp;id=79923","NANOG")</f>
        <v>NANOG</v>
      </c>
      <c r="E481" s="16">
        <v>-4.2507586642914303E-3</v>
      </c>
      <c r="F481" s="17">
        <v>1</v>
      </c>
    </row>
    <row r="482" spans="1:6" ht="60" customHeight="1" x14ac:dyDescent="0.25">
      <c r="A482" s="27">
        <v>479</v>
      </c>
      <c r="B482" s="28" t="s">
        <v>509</v>
      </c>
      <c r="C482" s="19" t="str">
        <f>HYPERLINK("https://portal.genego.com/cgi/entity_page.cgi?term=100&amp;id=2486","NCOA1 (SRC1)")</f>
        <v>NCOA1 (SRC1)</v>
      </c>
      <c r="D482" s="19" t="str">
        <f>HYPERLINK("https://portal.genego.com/cgi/entity_page.cgi?term=20&amp;id=-233650410","NCOA1")</f>
        <v>NCOA1</v>
      </c>
      <c r="E482" s="8">
        <v>2.4342039265482202E-2</v>
      </c>
      <c r="F482" s="17">
        <v>0.90878199999999998</v>
      </c>
    </row>
    <row r="483" spans="1:6" ht="60" customHeight="1" x14ac:dyDescent="0.25">
      <c r="A483" s="27">
        <v>480</v>
      </c>
      <c r="B483" s="28" t="s">
        <v>510</v>
      </c>
      <c r="C483" s="19" t="str">
        <f>HYPERLINK("https://portal.genego.com/cgi/entity_page.cgi?term=100&amp;id=-1641280260","NCOA3 (pCIP/SRC3)")</f>
        <v>NCOA3 (pCIP/SRC3)</v>
      </c>
      <c r="D483" s="19" t="str">
        <f>HYPERLINK("https://portal.genego.com/cgi/entity_page.cgi?term=20&amp;id=2102509816","NCOA3")</f>
        <v>NCOA3</v>
      </c>
      <c r="E483" s="7">
        <v>0.12623846387781201</v>
      </c>
      <c r="F483" s="17">
        <v>0.48754449999999999</v>
      </c>
    </row>
    <row r="484" spans="1:6" ht="60" customHeight="1" x14ac:dyDescent="0.25">
      <c r="A484" s="27">
        <v>481</v>
      </c>
      <c r="B484" s="28" t="s">
        <v>511</v>
      </c>
      <c r="C484" s="19" t="str">
        <f>HYPERLINK("https://portal.genego.com/cgi/entity_page.cgi?term=100&amp;id=2570","NEDD4")</f>
        <v>NEDD4</v>
      </c>
      <c r="D484" s="19" t="str">
        <f>HYPERLINK("https://portal.genego.com/cgi/entity_page.cgi?term=20&amp;id=-329375066","NEDD4")</f>
        <v>NEDD4</v>
      </c>
      <c r="E484" s="16">
        <v>-4.0241130316399899E-2</v>
      </c>
      <c r="F484" s="17">
        <v>0.8361944</v>
      </c>
    </row>
    <row r="485" spans="1:6" ht="60" customHeight="1" x14ac:dyDescent="0.25">
      <c r="A485" s="27">
        <v>482</v>
      </c>
      <c r="B485" s="28" t="s">
        <v>512</v>
      </c>
      <c r="C485" s="19" t="str">
        <f>HYPERLINK("https://portal.genego.com/cgi/entity_page.cgi?term=100&amp;id=-293045469","NEDD4L")</f>
        <v>NEDD4L</v>
      </c>
      <c r="D485" s="19" t="str">
        <f>HYPERLINK("https://portal.genego.com/cgi/entity_page.cgi?term=20&amp;id=931057243","NEDD4L")</f>
        <v>NEDD4L</v>
      </c>
      <c r="E485" s="6">
        <v>0.54623480112463996</v>
      </c>
      <c r="F485" s="17">
        <v>2.180013E-4</v>
      </c>
    </row>
    <row r="486" spans="1:6" ht="60" customHeight="1" x14ac:dyDescent="0.25">
      <c r="A486" s="27">
        <v>483</v>
      </c>
      <c r="B486" s="28" t="s">
        <v>513</v>
      </c>
      <c r="C486" s="19" t="str">
        <f>HYPERLINK("https://portal.genego.com/cgi/entity_page.cgi?term=100&amp;id=-780142072","NEK1")</f>
        <v>NEK1</v>
      </c>
      <c r="D486" s="19" t="str">
        <f>HYPERLINK("https://portal.genego.com/cgi/entity_page.cgi?term=20&amp;id=-1638098317","NEK1")</f>
        <v>NEK1</v>
      </c>
      <c r="E486" s="8">
        <v>8.7821142419744393E-3</v>
      </c>
      <c r="F486" s="17">
        <v>0.96622730000000001</v>
      </c>
    </row>
    <row r="487" spans="1:6" ht="60" customHeight="1" x14ac:dyDescent="0.25">
      <c r="A487" s="27">
        <v>484</v>
      </c>
      <c r="B487" s="28" t="s">
        <v>514</v>
      </c>
      <c r="C487" s="19" t="str">
        <f>HYPERLINK("https://portal.genego.com/cgi/entity_page.cgi?term=100&amp;id=9232","NEK6")</f>
        <v>NEK6</v>
      </c>
      <c r="D487" s="19" t="str">
        <f>HYPERLINK("https://portal.genego.com/cgi/entity_page.cgi?term=20&amp;id=848529441","NEK6")</f>
        <v>NEK6</v>
      </c>
      <c r="E487" s="15">
        <v>-0.219315061373898</v>
      </c>
      <c r="F487" s="17">
        <v>0.1698076</v>
      </c>
    </row>
    <row r="488" spans="1:6" ht="60" customHeight="1" x14ac:dyDescent="0.25">
      <c r="A488" s="27">
        <v>485</v>
      </c>
      <c r="B488" s="28" t="s">
        <v>515</v>
      </c>
      <c r="C488" s="19" t="str">
        <f>HYPERLINK("https://portal.genego.com/cgi/entity_page.cgi?term=100&amp;id=-1046054792","NEK7")</f>
        <v>NEK7</v>
      </c>
      <c r="D488" s="19" t="str">
        <f>HYPERLINK("https://portal.genego.com/cgi/entity_page.cgi?term=20&amp;id=-986491633","NEK7")</f>
        <v>NEK7</v>
      </c>
      <c r="E488" s="6">
        <v>0.46208474011683798</v>
      </c>
      <c r="F488" s="17">
        <v>2.2984089999999999E-2</v>
      </c>
    </row>
    <row r="489" spans="1:6" ht="60" customHeight="1" x14ac:dyDescent="0.25">
      <c r="A489" s="27">
        <v>486</v>
      </c>
      <c r="B489" s="28" t="s">
        <v>516</v>
      </c>
      <c r="C489" s="19" t="str">
        <f>HYPERLINK("https://portal.genego.com/cgi/entity_page.cgi?term=100&amp;id=-33836853","NEK9")</f>
        <v>NEK9</v>
      </c>
      <c r="D489" s="19" t="str">
        <f>HYPERLINK("https://portal.genego.com/cgi/entity_page.cgi?term=20&amp;id=1782654390","NEK9")</f>
        <v>NEK9</v>
      </c>
      <c r="E489" s="16">
        <v>-2.9973508877483401E-2</v>
      </c>
      <c r="F489" s="17">
        <v>0.87644429999999995</v>
      </c>
    </row>
    <row r="490" spans="1:6" ht="60" customHeight="1" x14ac:dyDescent="0.25">
      <c r="A490" s="27">
        <v>487</v>
      </c>
      <c r="B490" s="28" t="s">
        <v>517</v>
      </c>
      <c r="C490" s="19" t="str">
        <f>HYPERLINK("https://portal.genego.com/cgi/entity_page.cgi?term=100&amp;id=6095","NF-AT2(NFATC1)")</f>
        <v>NF-AT2(NFATC1)</v>
      </c>
      <c r="D490" s="19" t="str">
        <f>HYPERLINK("https://portal.genego.com/cgi/entity_page.cgi?term=20&amp;id=-343372624","NFATC1")</f>
        <v>NFATC1</v>
      </c>
      <c r="E490" s="16">
        <v>-1.8682365596949801E-2</v>
      </c>
      <c r="F490" s="17">
        <v>1</v>
      </c>
    </row>
    <row r="491" spans="1:6" ht="60" customHeight="1" x14ac:dyDescent="0.25">
      <c r="A491" s="27">
        <v>488</v>
      </c>
      <c r="B491" s="28" t="s">
        <v>518</v>
      </c>
      <c r="C491" s="19" t="str">
        <f>HYPERLINK("https://portal.genego.com/cgi/entity_page.cgi?term=100&amp;id=-689197755","NF-kB1 (p50)")</f>
        <v>NF-kB1 (p50)</v>
      </c>
      <c r="D491" s="19" t="str">
        <f>HYPERLINK("https://portal.genego.com/cgi/entity_page.cgi?term=20&amp;id=695458262","NFKB1")</f>
        <v>NFKB1</v>
      </c>
      <c r="E491" s="8">
        <v>5.4709293579528799E-2</v>
      </c>
      <c r="F491" s="17">
        <v>0.76111209999999996</v>
      </c>
    </row>
    <row r="492" spans="1:6" ht="60" customHeight="1" x14ac:dyDescent="0.25">
      <c r="A492" s="27">
        <v>489</v>
      </c>
      <c r="B492" s="28" t="s">
        <v>519</v>
      </c>
      <c r="C492" s="19" t="str">
        <f>HYPERLINK("https://portal.genego.com/cgi/entity_page.cgi?term=100&amp;id=1059","NF-kB2 (p100)")</f>
        <v>NF-kB2 (p100)</v>
      </c>
      <c r="D492" s="19" t="str">
        <f>HYPERLINK("https://portal.genego.com/cgi/entity_page.cgi?term=20&amp;id=-1443737373","NFKB2")</f>
        <v>NFKB2</v>
      </c>
      <c r="E492" s="8">
        <v>1.9961032515377602E-3</v>
      </c>
      <c r="F492" s="17">
        <v>0.99202999999999997</v>
      </c>
    </row>
    <row r="493" spans="1:6" ht="60" customHeight="1" x14ac:dyDescent="0.25">
      <c r="A493" s="27">
        <v>490</v>
      </c>
      <c r="B493" s="28" t="s">
        <v>519</v>
      </c>
      <c r="C493" s="19" t="str">
        <f>HYPERLINK("https://portal.genego.com/cgi/entity_page.cgi?term=100&amp;id=-70260209","NF-kB2 (p52)")</f>
        <v>NF-kB2 (p52)</v>
      </c>
      <c r="D493" s="19" t="str">
        <f>HYPERLINK("https://portal.genego.com/cgi/entity_page.cgi?term=20&amp;id=-1443737373","NFKB2")</f>
        <v>NFKB2</v>
      </c>
      <c r="E493" s="8">
        <v>1.9961032515377602E-3</v>
      </c>
      <c r="F493" s="17">
        <v>0.99202999999999997</v>
      </c>
    </row>
    <row r="494" spans="1:6" ht="60" customHeight="1" x14ac:dyDescent="0.25">
      <c r="A494" s="27">
        <v>491</v>
      </c>
      <c r="B494" s="28" t="s">
        <v>520</v>
      </c>
      <c r="C494" s="19" t="str">
        <f>HYPERLINK("https://portal.genego.com/cgi/entity_page.cgi?term=100&amp;id=-556238094","NFAT-90")</f>
        <v>NFAT-90</v>
      </c>
      <c r="D494" s="19" t="str">
        <f>HYPERLINK("https://portal.genego.com/cgi/entity_page.cgi?term=20&amp;id=-1332409918","ILF3")</f>
        <v>ILF3</v>
      </c>
      <c r="E494" s="15">
        <v>-0.19158462849158001</v>
      </c>
      <c r="F494" s="17">
        <v>0.136017</v>
      </c>
    </row>
    <row r="495" spans="1:6" ht="60" customHeight="1" x14ac:dyDescent="0.25">
      <c r="A495" s="27">
        <v>492</v>
      </c>
      <c r="B495" s="28" t="s">
        <v>521</v>
      </c>
      <c r="C495" s="19" t="str">
        <f>HYPERLINK("https://portal.genego.com/cgi/entity_page.cgi?term=100&amp;id=-1504683561","NFBD1")</f>
        <v>NFBD1</v>
      </c>
      <c r="D495" s="19" t="str">
        <f>HYPERLINK("https://portal.genego.com/cgi/entity_page.cgi?term=20&amp;id=9656","MDC1")</f>
        <v>MDC1</v>
      </c>
      <c r="E495" s="8">
        <v>1.59977329507822E-2</v>
      </c>
      <c r="F495" s="17">
        <v>0.94083530000000004</v>
      </c>
    </row>
    <row r="496" spans="1:6" ht="60" customHeight="1" x14ac:dyDescent="0.25">
      <c r="A496" s="27">
        <v>493</v>
      </c>
      <c r="B496" s="28" t="s">
        <v>522</v>
      </c>
      <c r="C496" s="19" t="str">
        <f>HYPERLINK("https://portal.genego.com/cgi/entity_page.cgi?term=100&amp;id=4523","NFKBIA")</f>
        <v>NFKBIA</v>
      </c>
      <c r="D496" s="19" t="str">
        <f>HYPERLINK("https://portal.genego.com/cgi/entity_page.cgi?term=20&amp;id=-500779420","NFKBIA")</f>
        <v>NFKBIA</v>
      </c>
      <c r="E496" s="12">
        <v>-0.74902554689772105</v>
      </c>
      <c r="F496" s="17">
        <v>3.7429089999999998E-6</v>
      </c>
    </row>
    <row r="497" spans="1:6" ht="60" customHeight="1" x14ac:dyDescent="0.25">
      <c r="A497" s="27">
        <v>494</v>
      </c>
      <c r="B497" s="28" t="s">
        <v>523</v>
      </c>
      <c r="C497" s="19" t="str">
        <f>HYPERLINK("https://portal.genego.com/cgi/entity_page.cgi?term=100&amp;id=-580203413","NFKBIB")</f>
        <v>NFKBIB</v>
      </c>
      <c r="D497" s="19" t="str">
        <f>HYPERLINK("https://portal.genego.com/cgi/entity_page.cgi?term=20&amp;id=148139679","NFKBIB")</f>
        <v>NFKBIB</v>
      </c>
      <c r="E497" s="8">
        <v>2.9698468070135702E-2</v>
      </c>
      <c r="F497" s="17">
        <v>0.87992729999999997</v>
      </c>
    </row>
    <row r="498" spans="1:6" ht="60" customHeight="1" x14ac:dyDescent="0.25">
      <c r="A498" s="27">
        <v>495</v>
      </c>
      <c r="B498" s="28" t="s">
        <v>524</v>
      </c>
      <c r="C498" s="19" t="str">
        <f>HYPERLINK("https://portal.genego.com/cgi/entity_page.cgi?term=100&amp;id=-907111239","NGF")</f>
        <v>NGF</v>
      </c>
      <c r="D498" s="19" t="str">
        <f>HYPERLINK("https://portal.genego.com/cgi/entity_page.cgi?term=20&amp;id=471909814","NGF")</f>
        <v>NGF</v>
      </c>
      <c r="E498" s="15">
        <v>-0.25295284504778498</v>
      </c>
      <c r="F498" s="17">
        <v>0.1698076</v>
      </c>
    </row>
    <row r="499" spans="1:6" ht="60" customHeight="1" x14ac:dyDescent="0.25">
      <c r="A499" s="27">
        <v>496</v>
      </c>
      <c r="B499" s="28" t="s">
        <v>525</v>
      </c>
      <c r="C499" s="19" t="str">
        <f>HYPERLINK("https://portal.genego.com/cgi/entity_page.cgi?term=100&amp;id=530","NIK(MAP3K14)")</f>
        <v>NIK(MAP3K14)</v>
      </c>
      <c r="D499" s="19" t="str">
        <f>HYPERLINK("https://portal.genego.com/cgi/entity_page.cgi?term=20&amp;id=-1795002538","MAP3K14")</f>
        <v>MAP3K14</v>
      </c>
      <c r="E499" s="16">
        <v>-3.8403927847796199E-2</v>
      </c>
      <c r="F499" s="17">
        <v>0.84530680000000002</v>
      </c>
    </row>
    <row r="500" spans="1:6" ht="60" customHeight="1" x14ac:dyDescent="0.25">
      <c r="A500" s="27">
        <v>497</v>
      </c>
      <c r="B500" s="28" t="s">
        <v>526</v>
      </c>
      <c r="C500" s="19" t="str">
        <f>HYPERLINK("https://portal.genego.com/cgi/entity_page.cgi?term=100&amp;id=-51652740","NMNA1")</f>
        <v>NMNA1</v>
      </c>
      <c r="D500" s="19" t="str">
        <f>HYPERLINK("https://portal.genego.com/cgi/entity_page.cgi?term=20&amp;id=1227889993","NMNAT1")</f>
        <v>NMNAT1</v>
      </c>
      <c r="E500" s="16">
        <v>-3.0885072151686802E-2</v>
      </c>
      <c r="F500" s="17">
        <v>0.87827219999999995</v>
      </c>
    </row>
    <row r="501" spans="1:6" ht="60" customHeight="1" x14ac:dyDescent="0.25">
      <c r="A501" s="27">
        <v>498</v>
      </c>
      <c r="B501" s="28" t="s">
        <v>527</v>
      </c>
      <c r="C501" s="19" t="str">
        <f>HYPERLINK("https://portal.genego.com/cgi/entity_page.cgi?term=100&amp;id=-1479616421","NMNA2")</f>
        <v>NMNA2</v>
      </c>
      <c r="D501" s="19" t="str">
        <f>HYPERLINK("https://portal.genego.com/cgi/entity_page.cgi?term=20&amp;id=-451555401","NMNAT2")</f>
        <v>NMNAT2</v>
      </c>
      <c r="E501" s="8">
        <v>5.3491538323149797E-2</v>
      </c>
      <c r="F501" s="17">
        <v>0.78062339999999997</v>
      </c>
    </row>
    <row r="502" spans="1:6" ht="60" customHeight="1" x14ac:dyDescent="0.25">
      <c r="A502" s="27">
        <v>499</v>
      </c>
      <c r="B502" s="28" t="s">
        <v>528</v>
      </c>
      <c r="C502" s="19" t="str">
        <f>HYPERLINK("https://portal.genego.com/cgi/entity_page.cgi?term=100&amp;id=-420672704","NMNA3")</f>
        <v>NMNA3</v>
      </c>
      <c r="D502" s="19" t="str">
        <f>HYPERLINK("https://portal.genego.com/cgi/entity_page.cgi?term=20&amp;id=349565","NMNAT3")</f>
        <v>NMNAT3</v>
      </c>
      <c r="E502" s="16">
        <v>-3.2096568595208402E-2</v>
      </c>
      <c r="F502" s="17">
        <v>0.83985980000000005</v>
      </c>
    </row>
    <row r="503" spans="1:6" ht="60" customHeight="1" x14ac:dyDescent="0.25">
      <c r="A503" s="27">
        <v>500</v>
      </c>
      <c r="B503" s="28" t="s">
        <v>529</v>
      </c>
      <c r="C503" s="19" t="str">
        <f>HYPERLINK("https://portal.genego.com/cgi/entity_page.cgi?term=100&amp;id=-250396609","NNMT")</f>
        <v>NNMT</v>
      </c>
      <c r="D503" s="19" t="str">
        <f>HYPERLINK("https://portal.genego.com/cgi/entity_page.cgi?term=20&amp;id=-1862092428","NNMT")</f>
        <v>NNMT</v>
      </c>
      <c r="E503" s="15">
        <v>-0.14671230966559801</v>
      </c>
      <c r="F503" s="17">
        <v>0.40586260000000002</v>
      </c>
    </row>
    <row r="504" spans="1:6" ht="60" customHeight="1" x14ac:dyDescent="0.25">
      <c r="A504" s="27">
        <v>501</v>
      </c>
      <c r="B504" s="28" t="s">
        <v>530</v>
      </c>
      <c r="C504" s="19" t="str">
        <f>HYPERLINK("https://portal.genego.com/cgi/entity_page.cgi?term=100&amp;id=-1049483076","NNTM")</f>
        <v>NNTM</v>
      </c>
      <c r="D504" s="19" t="str">
        <f>HYPERLINK("https://portal.genego.com/cgi/entity_page.cgi?term=20&amp;id=631440623","NNT")</f>
        <v>NNT</v>
      </c>
      <c r="E504" s="15">
        <v>-0.104610539409422</v>
      </c>
      <c r="F504" s="17">
        <v>0.53998930000000001</v>
      </c>
    </row>
    <row r="505" spans="1:6" ht="60" customHeight="1" x14ac:dyDescent="0.25">
      <c r="A505" s="27">
        <v>502</v>
      </c>
      <c r="B505" s="28" t="s">
        <v>531</v>
      </c>
      <c r="C505" s="19" t="str">
        <f>HYPERLINK("https://portal.genego.com/cgi/entity_page.cgi?term=100&amp;id=-1737164758","NODAL")</f>
        <v>NODAL</v>
      </c>
      <c r="D505" s="19" t="str">
        <f>HYPERLINK("https://portal.genego.com/cgi/entity_page.cgi?term=20&amp;id=-1361504486","NODAL")</f>
        <v>NODAL</v>
      </c>
      <c r="E505" s="16">
        <v>-1.2451106269644701E-2</v>
      </c>
      <c r="F505" s="17">
        <v>1</v>
      </c>
    </row>
    <row r="506" spans="1:6" ht="60" customHeight="1" x14ac:dyDescent="0.25">
      <c r="A506" s="27">
        <v>503</v>
      </c>
      <c r="B506" s="28" t="s">
        <v>532</v>
      </c>
      <c r="C506" s="19" t="str">
        <f>HYPERLINK("https://portal.genego.com/cgi/entity_page.cgi?term=100&amp;id=-412138996","NOTCH1 (NEXT)")</f>
        <v>NOTCH1 (NEXT)</v>
      </c>
      <c r="D506" s="19" t="str">
        <f>HYPERLINK("https://portal.genego.com/cgi/entity_page.cgi?term=20&amp;id=-535214902","NOTCH1")</f>
        <v>NOTCH1</v>
      </c>
      <c r="E506" s="8">
        <v>1.26397711720195E-2</v>
      </c>
      <c r="F506" s="17">
        <v>0.95224339999999996</v>
      </c>
    </row>
    <row r="507" spans="1:6" ht="60" customHeight="1" x14ac:dyDescent="0.25">
      <c r="A507" s="27">
        <v>504</v>
      </c>
      <c r="B507" s="28" t="s">
        <v>532</v>
      </c>
      <c r="C507" s="19" t="str">
        <f>HYPERLINK("https://portal.genego.com/cgi/entity_page.cgi?term=100&amp;id=-1450873934","NOTCH1 (NICD)")</f>
        <v>NOTCH1 (NICD)</v>
      </c>
      <c r="D507" s="19" t="str">
        <f>HYPERLINK("https://portal.genego.com/cgi/entity_page.cgi?term=20&amp;id=-535214902","NOTCH1")</f>
        <v>NOTCH1</v>
      </c>
      <c r="E507" s="8">
        <v>1.26397711720195E-2</v>
      </c>
      <c r="F507" s="17">
        <v>0.95224339999999996</v>
      </c>
    </row>
    <row r="508" spans="1:6" ht="60" customHeight="1" x14ac:dyDescent="0.25">
      <c r="A508" s="27">
        <v>505</v>
      </c>
      <c r="B508" s="28" t="s">
        <v>532</v>
      </c>
      <c r="C508" s="19" t="str">
        <f>HYPERLINK("https://portal.genego.com/cgi/entity_page.cgi?term=100&amp;id=-524925202","NOTCH1 receptor")</f>
        <v>NOTCH1 receptor</v>
      </c>
      <c r="D508" s="19" t="str">
        <f>HYPERLINK("https://portal.genego.com/cgi/entity_page.cgi?term=20&amp;id=-535214902","NOTCH1")</f>
        <v>NOTCH1</v>
      </c>
      <c r="E508" s="8">
        <v>1.26397711720195E-2</v>
      </c>
      <c r="F508" s="17">
        <v>0.95224339999999996</v>
      </c>
    </row>
    <row r="509" spans="1:6" ht="60" customHeight="1" x14ac:dyDescent="0.25">
      <c r="A509" s="27">
        <v>506</v>
      </c>
      <c r="B509" s="28" t="s">
        <v>533</v>
      </c>
      <c r="C509" s="19" t="str">
        <f>HYPERLINK("https://portal.genego.com/cgi/entity_page.cgi?term=100&amp;id=2809","NOTCH3")</f>
        <v>NOTCH3</v>
      </c>
      <c r="D509" s="19" t="str">
        <f>HYPERLINK("https://portal.genego.com/cgi/entity_page.cgi?term=20&amp;id=2054759181","NOTCH3")</f>
        <v>NOTCH3</v>
      </c>
      <c r="E509" s="16">
        <v>-7.1851484412450595E-2</v>
      </c>
      <c r="F509" s="17">
        <v>1</v>
      </c>
    </row>
    <row r="510" spans="1:6" ht="60" customHeight="1" x14ac:dyDescent="0.25">
      <c r="A510" s="27">
        <v>507</v>
      </c>
      <c r="B510" s="28" t="s">
        <v>533</v>
      </c>
      <c r="C510" s="19" t="str">
        <f>HYPERLINK("https://portal.genego.com/cgi/entity_page.cgi?term=100&amp;id=-1178406770","NOTCH3 (3ICD)")</f>
        <v>NOTCH3 (3ICD)</v>
      </c>
      <c r="D510" s="19" t="str">
        <f>HYPERLINK("https://portal.genego.com/cgi/entity_page.cgi?term=20&amp;id=2054759181","NOTCH3")</f>
        <v>NOTCH3</v>
      </c>
      <c r="E510" s="16">
        <v>-7.1851484412450595E-2</v>
      </c>
      <c r="F510" s="17">
        <v>1</v>
      </c>
    </row>
    <row r="511" spans="1:6" ht="60" customHeight="1" x14ac:dyDescent="0.25">
      <c r="A511" s="27">
        <v>508</v>
      </c>
      <c r="B511" s="28" t="s">
        <v>534</v>
      </c>
      <c r="C511" s="19" t="str">
        <f>HYPERLINK("https://portal.genego.com/cgi/entity_page.cgi?term=100&amp;id=-1263982752","NOX5")</f>
        <v>NOX5</v>
      </c>
      <c r="D511" s="19" t="str">
        <f>HYPERLINK("https://portal.genego.com/cgi/entity_page.cgi?term=20&amp;id=387784408","NOX5")</f>
        <v>NOX5</v>
      </c>
      <c r="E511" s="8">
        <v>2.5633383796932599E-2</v>
      </c>
      <c r="F511" s="17">
        <v>1</v>
      </c>
    </row>
    <row r="512" spans="1:6" ht="60" customHeight="1" x14ac:dyDescent="0.25">
      <c r="A512" s="27">
        <v>509</v>
      </c>
      <c r="B512" s="28" t="s">
        <v>535</v>
      </c>
      <c r="C512" s="19" t="str">
        <f>HYPERLINK("https://portal.genego.com/cgi/entity_page.cgi?term=100&amp;id=2832","NRF2")</f>
        <v>NRF2</v>
      </c>
      <c r="D512" s="19" t="str">
        <f>HYPERLINK("https://portal.genego.com/cgi/entity_page.cgi?term=20&amp;id=1472530823","NFE2L2")</f>
        <v>NFE2L2</v>
      </c>
      <c r="E512" s="16">
        <v>-1.95332338129506E-2</v>
      </c>
      <c r="F512" s="17">
        <v>0.92307930000000005</v>
      </c>
    </row>
    <row r="513" spans="1:6" ht="60" customHeight="1" x14ac:dyDescent="0.25">
      <c r="A513" s="27">
        <v>510</v>
      </c>
      <c r="B513" s="28" t="s">
        <v>536</v>
      </c>
      <c r="C513" s="19" t="str">
        <f>HYPERLINK("https://portal.genego.com/cgi/entity_page.cgi?term=100&amp;id=-504773508","NRK1")</f>
        <v>NRK1</v>
      </c>
      <c r="D513" s="19" t="str">
        <f>HYPERLINK("https://portal.genego.com/cgi/entity_page.cgi?term=20&amp;id=54981","NMRK1")</f>
        <v>NMRK1</v>
      </c>
      <c r="E513" s="16">
        <v>-6.4305184691704306E-2</v>
      </c>
      <c r="F513" s="17">
        <v>0.73073980000000005</v>
      </c>
    </row>
    <row r="514" spans="1:6" ht="60" customHeight="1" x14ac:dyDescent="0.25">
      <c r="A514" s="27">
        <v>511</v>
      </c>
      <c r="B514" s="28" t="s">
        <v>537</v>
      </c>
      <c r="C514" s="19" t="str">
        <f>HYPERLINK("https://portal.genego.com/cgi/entity_page.cgi?term=100&amp;id=-1513425979","NSL1")</f>
        <v>NSL1</v>
      </c>
      <c r="D514" s="19" t="str">
        <f>HYPERLINK("https://portal.genego.com/cgi/entity_page.cgi?term=20&amp;id=-440098926","NSL1")</f>
        <v>NSL1</v>
      </c>
      <c r="E514" s="15">
        <v>-0.106061271920524</v>
      </c>
      <c r="F514" s="17">
        <v>0.55137429999999998</v>
      </c>
    </row>
    <row r="515" spans="1:6" ht="60" customHeight="1" x14ac:dyDescent="0.25">
      <c r="A515" s="27">
        <v>512</v>
      </c>
      <c r="B515" s="28" t="s">
        <v>538</v>
      </c>
      <c r="C515" s="19" t="str">
        <f>HYPERLINK("https://portal.genego.com/cgi/entity_page.cgi?term=100&amp;id=-1999570986","NT5C3")</f>
        <v>NT5C3</v>
      </c>
      <c r="D515" s="19" t="str">
        <f>HYPERLINK("https://portal.genego.com/cgi/entity_page.cgi?term=20&amp;id=-1916382966","NT5C3A")</f>
        <v>NT5C3A</v>
      </c>
      <c r="E515" s="16">
        <v>-6.0904060948017001E-2</v>
      </c>
      <c r="F515" s="17">
        <v>0.74488810000000005</v>
      </c>
    </row>
    <row r="516" spans="1:6" ht="60" customHeight="1" x14ac:dyDescent="0.25">
      <c r="A516" s="27">
        <v>513</v>
      </c>
      <c r="B516" s="28" t="s">
        <v>539</v>
      </c>
      <c r="C516" s="19" t="str">
        <f>HYPERLINK("https://portal.genego.com/cgi/entity_page.cgi?term=100&amp;id=-235543391","NUD12")</f>
        <v>NUD12</v>
      </c>
      <c r="D516" s="19" t="str">
        <f>HYPERLINK("https://portal.genego.com/cgi/entity_page.cgi?term=20&amp;id=-188638180","NUDT12")</f>
        <v>NUDT12</v>
      </c>
      <c r="E516" s="8">
        <v>2.7747492500795699E-2</v>
      </c>
      <c r="F516" s="17">
        <v>0.89231870000000002</v>
      </c>
    </row>
    <row r="517" spans="1:6" ht="60" customHeight="1" x14ac:dyDescent="0.25">
      <c r="A517" s="27">
        <v>514</v>
      </c>
      <c r="B517" s="28" t="s">
        <v>540</v>
      </c>
      <c r="C517" s="19" t="str">
        <f>HYPERLINK("https://portal.genego.com/cgi/entity_page.cgi?term=100&amp;id=-1853914630","NUMA1")</f>
        <v>NUMA1</v>
      </c>
      <c r="D517" s="19" t="str">
        <f>HYPERLINK("https://portal.genego.com/cgi/entity_page.cgi?term=20&amp;id=1525102015","NUMA1")</f>
        <v>NUMA1</v>
      </c>
      <c r="E517" s="15">
        <v>-0.103437749461446</v>
      </c>
      <c r="F517" s="17">
        <v>0.53782929999999995</v>
      </c>
    </row>
    <row r="518" spans="1:6" ht="60" customHeight="1" x14ac:dyDescent="0.25">
      <c r="A518" s="27">
        <v>515</v>
      </c>
      <c r="B518" s="28" t="s">
        <v>541</v>
      </c>
      <c r="C518" s="19" t="str">
        <f>HYPERLINK("https://portal.genego.com/cgi/entity_page.cgi?term=100&amp;id=-1871755099","NUMB")</f>
        <v>NUMB</v>
      </c>
      <c r="D518" s="19" t="str">
        <f>HYPERLINK("https://portal.genego.com/cgi/entity_page.cgi?term=20&amp;id=-1517273864","NUMB")</f>
        <v>NUMB</v>
      </c>
      <c r="E518" s="7">
        <v>0.15156558956900101</v>
      </c>
      <c r="F518" s="17">
        <v>0.31742730000000002</v>
      </c>
    </row>
    <row r="519" spans="1:6" ht="60" customHeight="1" x14ac:dyDescent="0.25">
      <c r="A519" s="27">
        <v>516</v>
      </c>
      <c r="B519" s="28" t="s">
        <v>542</v>
      </c>
      <c r="C519" s="19" t="str">
        <f>HYPERLINK("https://portal.genego.com/cgi/entity_page.cgi?term=100&amp;id=2909","NUR77")</f>
        <v>NUR77</v>
      </c>
      <c r="D519" s="19" t="str">
        <f>HYPERLINK("https://portal.genego.com/cgi/entity_page.cgi?term=20&amp;id=1230180933","NR4A1")</f>
        <v>NR4A1</v>
      </c>
      <c r="E519" s="8">
        <v>5.5858696477634098E-2</v>
      </c>
      <c r="F519" s="17">
        <v>0.73112540000000004</v>
      </c>
    </row>
    <row r="520" spans="1:6" ht="60" customHeight="1" x14ac:dyDescent="0.25">
      <c r="A520" s="27">
        <v>517</v>
      </c>
      <c r="B520" s="28" t="s">
        <v>543</v>
      </c>
      <c r="C520" s="19" t="str">
        <f>HYPERLINK("https://portal.genego.com/cgi/entity_page.cgi?term=100&amp;id=-1874801749","Nek11")</f>
        <v>Nek11</v>
      </c>
      <c r="D520" s="19" t="str">
        <f>HYPERLINK("https://portal.genego.com/cgi/entity_page.cgi?term=20&amp;id=-1797966482","NEK11")</f>
        <v>NEK11</v>
      </c>
      <c r="E520" s="8">
        <v>2.0305805164908101E-2</v>
      </c>
      <c r="F520" s="17">
        <v>0.92388300000000001</v>
      </c>
    </row>
    <row r="521" spans="1:6" ht="60" customHeight="1" x14ac:dyDescent="0.25">
      <c r="A521" s="27">
        <v>518</v>
      </c>
      <c r="B521" s="28" t="s">
        <v>544</v>
      </c>
      <c r="C521" s="19" t="str">
        <f>HYPERLINK("https://portal.genego.com/cgi/entity_page.cgi?term=100&amp;id=-926014525","Nek2A")</f>
        <v>Nek2A</v>
      </c>
      <c r="D521" s="19" t="str">
        <f>HYPERLINK("https://portal.genego.com/cgi/entity_page.cgi?term=20&amp;id=-1367631598","NEK2")</f>
        <v>NEK2</v>
      </c>
      <c r="E521" s="12">
        <v>-0.68735695558305798</v>
      </c>
      <c r="F521" s="17">
        <v>5.4576899999999999E-4</v>
      </c>
    </row>
    <row r="522" spans="1:6" ht="60" customHeight="1" x14ac:dyDescent="0.25">
      <c r="A522" s="27">
        <v>519</v>
      </c>
      <c r="B522" s="28" t="s">
        <v>545</v>
      </c>
      <c r="C522" s="19" t="str">
        <f>HYPERLINK("https://portal.genego.com/cgi/entity_page.cgi?term=100&amp;id=-950070407","Nek8")</f>
        <v>Nek8</v>
      </c>
      <c r="D522" s="19" t="str">
        <f>HYPERLINK("https://portal.genego.com/cgi/entity_page.cgi?term=20&amp;id=-1427020889","NEK8")</f>
        <v>NEK8</v>
      </c>
      <c r="E522" s="8">
        <v>4.2377727383052198E-3</v>
      </c>
      <c r="F522" s="17">
        <v>0.98306260000000001</v>
      </c>
    </row>
    <row r="523" spans="1:6" ht="60" customHeight="1" x14ac:dyDescent="0.25">
      <c r="A523" s="27">
        <v>520</v>
      </c>
      <c r="B523" s="28" t="s">
        <v>546</v>
      </c>
      <c r="C523" s="19" t="str">
        <f>HYPERLINK("https://portal.genego.com/cgi/entity_page.cgi?term=100&amp;id=-1413290723","Nephrocystin-4")</f>
        <v>Nephrocystin-4</v>
      </c>
      <c r="D523" s="19" t="str">
        <f>HYPERLINK("https://portal.genego.com/cgi/entity_page.cgi?term=20&amp;id=261734","NPHP4")</f>
        <v>NPHP4</v>
      </c>
      <c r="E523" s="8">
        <v>6.4979391792197597E-2</v>
      </c>
      <c r="F523" s="17">
        <v>0.72921559999999996</v>
      </c>
    </row>
    <row r="524" spans="1:6" ht="60" customHeight="1" x14ac:dyDescent="0.25">
      <c r="A524" s="27">
        <v>521</v>
      </c>
      <c r="B524" s="28" t="s">
        <v>547</v>
      </c>
      <c r="C524" s="19" t="str">
        <f>HYPERLINK("https://portal.genego.com/cgi/entity_page.cgi?term=100&amp;id=-1963218173","Neurotractin")</f>
        <v>Neurotractin</v>
      </c>
      <c r="D524" s="19" t="str">
        <f>HYPERLINK("https://portal.genego.com/cgi/entity_page.cgi?term=20&amp;id=257194","NEGR1")</f>
        <v>NEGR1</v>
      </c>
      <c r="E524" s="7">
        <v>0.26046512400518801</v>
      </c>
      <c r="F524" s="17">
        <v>0.1506632</v>
      </c>
    </row>
    <row r="525" spans="1:6" ht="60" customHeight="1" x14ac:dyDescent="0.25">
      <c r="A525" s="27">
        <v>522</v>
      </c>
      <c r="B525" s="28" t="s">
        <v>548</v>
      </c>
      <c r="C525" s="19" t="str">
        <f>HYPERLINK("https://portal.genego.com/cgi/entity_page.cgi?term=100&amp;id=-1816309549","Nucleolin")</f>
        <v>Nucleolin</v>
      </c>
      <c r="D525" s="19" t="str">
        <f>HYPERLINK("https://portal.genego.com/cgi/entity_page.cgi?term=20&amp;id=-1681843483","NCL")</f>
        <v>NCL</v>
      </c>
      <c r="E525" s="16">
        <v>-2.5873245390729199E-2</v>
      </c>
      <c r="F525" s="17">
        <v>0.88865879999999997</v>
      </c>
    </row>
    <row r="526" spans="1:6" ht="60" customHeight="1" x14ac:dyDescent="0.25">
      <c r="A526" s="27">
        <v>523</v>
      </c>
      <c r="B526" s="28" t="s">
        <v>549</v>
      </c>
      <c r="C526" s="19" t="str">
        <f>HYPERLINK("https://portal.genego.com/cgi/entity_page.cgi?term=100&amp;id=-1034457149","Nucleolysin TIAR")</f>
        <v>Nucleolysin TIAR</v>
      </c>
      <c r="D526" s="19" t="str">
        <f>HYPERLINK("https://portal.genego.com/cgi/entity_page.cgi?term=20&amp;id=1990665531","TIAL1")</f>
        <v>TIAL1</v>
      </c>
      <c r="E526" s="16">
        <v>-7.2133692520302606E-2</v>
      </c>
      <c r="F526" s="17">
        <v>0.66727040000000004</v>
      </c>
    </row>
    <row r="527" spans="1:6" ht="60" customHeight="1" x14ac:dyDescent="0.25">
      <c r="A527" s="27">
        <v>524</v>
      </c>
      <c r="B527" s="28" t="s">
        <v>550</v>
      </c>
      <c r="C527" s="19" t="str">
        <f>HYPERLINK("https://portal.genego.com/cgi/entity_page.cgi?term=100&amp;id=9122","OAS1")</f>
        <v>OAS1</v>
      </c>
      <c r="D527" s="19" t="str">
        <f>HYPERLINK("https://portal.genego.com/cgi/entity_page.cgi?term=20&amp;id=-1385381788","OAS1")</f>
        <v>OAS1</v>
      </c>
      <c r="E527" s="1">
        <v>1.6192472657813599</v>
      </c>
      <c r="F527" s="17">
        <v>1.5441700000000002E-5</v>
      </c>
    </row>
    <row r="528" spans="1:6" ht="60" customHeight="1" x14ac:dyDescent="0.25">
      <c r="A528" s="27">
        <v>525</v>
      </c>
      <c r="B528" s="28" t="s">
        <v>551</v>
      </c>
      <c r="C528" s="19" t="str">
        <f>HYPERLINK("https://portal.genego.com/cgi/entity_page.cgi?term=100&amp;id=4460","ORC1L")</f>
        <v>ORC1L</v>
      </c>
      <c r="D528" s="19" t="str">
        <f>HYPERLINK("https://portal.genego.com/cgi/entity_page.cgi?term=20&amp;id=-1853737872","ORC1")</f>
        <v>ORC1</v>
      </c>
      <c r="E528" s="15">
        <v>-0.18725448779131701</v>
      </c>
      <c r="F528" s="17">
        <v>0.31301689999999999</v>
      </c>
    </row>
    <row r="529" spans="1:6" ht="60" customHeight="1" x14ac:dyDescent="0.25">
      <c r="A529" s="27">
        <v>526</v>
      </c>
      <c r="B529" s="28" t="s">
        <v>552</v>
      </c>
      <c r="C529" s="19" t="str">
        <f>HYPERLINK("https://portal.genego.com/cgi/entity_page.cgi?term=100&amp;id=-1611304620","ORC2L")</f>
        <v>ORC2L</v>
      </c>
      <c r="D529" s="19" t="str">
        <f>HYPERLINK("https://portal.genego.com/cgi/entity_page.cgi?term=20&amp;id=-1735159144","ORC2")</f>
        <v>ORC2</v>
      </c>
      <c r="E529" s="8">
        <v>1.1457723025898699E-2</v>
      </c>
      <c r="F529" s="17">
        <v>0.95711029999999997</v>
      </c>
    </row>
    <row r="530" spans="1:6" ht="60" customHeight="1" x14ac:dyDescent="0.25">
      <c r="A530" s="27">
        <v>527</v>
      </c>
      <c r="B530" s="28" t="s">
        <v>553</v>
      </c>
      <c r="C530" s="19" t="str">
        <f>HYPERLINK("https://portal.genego.com/cgi/entity_page.cgi?term=100&amp;id=-1981702354","ORC3L")</f>
        <v>ORC3L</v>
      </c>
      <c r="D530" s="19" t="str">
        <f>HYPERLINK("https://portal.genego.com/cgi/entity_page.cgi?term=20&amp;id=1116809622","ORC3")</f>
        <v>ORC3</v>
      </c>
      <c r="E530" s="7">
        <v>0.31109414049419698</v>
      </c>
      <c r="F530" s="17">
        <v>8.6655979999999994E-2</v>
      </c>
    </row>
    <row r="531" spans="1:6" ht="60" customHeight="1" x14ac:dyDescent="0.25">
      <c r="A531" s="27">
        <v>528</v>
      </c>
      <c r="B531" s="28" t="s">
        <v>554</v>
      </c>
      <c r="C531" s="19" t="str">
        <f>HYPERLINK("https://portal.genego.com/cgi/entity_page.cgi?term=100&amp;id=-52068388","ORC4L")</f>
        <v>ORC4L</v>
      </c>
      <c r="D531" s="19" t="str">
        <f>HYPERLINK("https://portal.genego.com/cgi/entity_page.cgi?term=20&amp;id=845975531","ORC4")</f>
        <v>ORC4</v>
      </c>
      <c r="E531" s="8">
        <v>7.9095196033519E-2</v>
      </c>
      <c r="F531" s="17">
        <v>0.64301229999999998</v>
      </c>
    </row>
    <row r="532" spans="1:6" ht="60" customHeight="1" x14ac:dyDescent="0.25">
      <c r="A532" s="27">
        <v>529</v>
      </c>
      <c r="B532" s="28" t="s">
        <v>555</v>
      </c>
      <c r="C532" s="19" t="str">
        <f>HYPERLINK("https://portal.genego.com/cgi/entity_page.cgi?term=100&amp;id=-319454859","ORC5L")</f>
        <v>ORC5L</v>
      </c>
      <c r="D532" s="19" t="str">
        <f>HYPERLINK("https://portal.genego.com/cgi/entity_page.cgi?term=20&amp;id=959815054","ORC5")</f>
        <v>ORC5</v>
      </c>
      <c r="E532" s="7">
        <v>0.27173518052903101</v>
      </c>
      <c r="F532" s="17">
        <v>0.15093409999999999</v>
      </c>
    </row>
    <row r="533" spans="1:6" ht="60" customHeight="1" x14ac:dyDescent="0.25">
      <c r="A533" s="27">
        <v>530</v>
      </c>
      <c r="B533" s="28" t="s">
        <v>556</v>
      </c>
      <c r="C533" s="19" t="str">
        <f>HYPERLINK("https://portal.genego.com/cgi/entity_page.cgi?term=100&amp;id=-561472741","ORC6L")</f>
        <v>ORC6L</v>
      </c>
      <c r="D533" s="19" t="str">
        <f>HYPERLINK("https://portal.genego.com/cgi/entity_page.cgi?term=20&amp;id=1772124995","ORC6")</f>
        <v>ORC6</v>
      </c>
      <c r="E533" s="7">
        <v>0.11646091299874201</v>
      </c>
      <c r="F533" s="17">
        <v>0.50177150000000004</v>
      </c>
    </row>
    <row r="534" spans="1:6" ht="60" customHeight="1" x14ac:dyDescent="0.25">
      <c r="A534" s="27">
        <v>531</v>
      </c>
      <c r="B534" s="28" t="s">
        <v>557</v>
      </c>
      <c r="C534" s="19" t="str">
        <f>HYPERLINK("https://portal.genego.com/cgi/entity_page.cgi?term=100&amp;id=6190","OSF-2")</f>
        <v>OSF-2</v>
      </c>
      <c r="D534" s="19" t="str">
        <f>HYPERLINK("https://portal.genego.com/cgi/entity_page.cgi?term=20&amp;id=10631","POSTN")</f>
        <v>POSTN</v>
      </c>
      <c r="E534" s="6">
        <v>0.43867380668746497</v>
      </c>
      <c r="F534" s="17">
        <v>6.0145110000000002E-2</v>
      </c>
    </row>
    <row r="535" spans="1:6" ht="60" customHeight="1" x14ac:dyDescent="0.25">
      <c r="A535" s="27">
        <v>532</v>
      </c>
      <c r="B535" s="28" t="s">
        <v>558</v>
      </c>
      <c r="C535" s="19" t="str">
        <f>HYPERLINK("https://portal.genego.com/cgi/entity_page.cgi?term=100&amp;id=-649476070","OSR1")</f>
        <v>OSR1</v>
      </c>
      <c r="D535" s="19" t="str">
        <f>HYPERLINK("https://portal.genego.com/cgi/entity_page.cgi?term=20&amp;id=9943","OXSR1")</f>
        <v>OXSR1</v>
      </c>
      <c r="E535" s="16">
        <v>-1.8054967628010898E-2</v>
      </c>
      <c r="F535" s="17">
        <v>0.9268459</v>
      </c>
    </row>
    <row r="536" spans="1:6" ht="60" customHeight="1" x14ac:dyDescent="0.25">
      <c r="A536" s="27">
        <v>533</v>
      </c>
      <c r="B536" s="28" t="s">
        <v>559</v>
      </c>
      <c r="C536" s="19" t="str">
        <f>HYPERLINK("https://portal.genego.com/cgi/entity_page.cgi?term=100&amp;id=-115825747","Oct-3/4")</f>
        <v>Oct-3/4</v>
      </c>
      <c r="D536" s="19" t="str">
        <f>HYPERLINK("https://portal.genego.com/cgi/entity_page.cgi?term=20&amp;id=1529160261","POU5F1")</f>
        <v>POU5F1</v>
      </c>
      <c r="E536" s="8">
        <v>2.92157707058779E-2</v>
      </c>
      <c r="F536" s="17">
        <v>1</v>
      </c>
    </row>
    <row r="537" spans="1:6" ht="60" customHeight="1" x14ac:dyDescent="0.25">
      <c r="A537" s="27">
        <v>534</v>
      </c>
      <c r="B537" s="28" t="s">
        <v>560</v>
      </c>
      <c r="C537" s="19" t="str">
        <f>HYPERLINK("https://portal.genego.com/cgi/entity_page.cgi?term=100&amp;id=4635","Osteocalcin")</f>
        <v>Osteocalcin</v>
      </c>
      <c r="D537" s="19" t="str">
        <f>HYPERLINK("https://portal.genego.com/cgi/entity_page.cgi?term=20&amp;id=2067064839","BGLAP")</f>
        <v>BGLAP</v>
      </c>
      <c r="E537" s="16">
        <v>-2.19633160331127E-3</v>
      </c>
      <c r="F537" s="17">
        <v>1</v>
      </c>
    </row>
    <row r="538" spans="1:6" ht="60" customHeight="1" x14ac:dyDescent="0.25">
      <c r="A538" s="27">
        <v>535</v>
      </c>
      <c r="B538" s="28" t="s">
        <v>561</v>
      </c>
      <c r="C538" s="19" t="str">
        <f>HYPERLINK("https://portal.genego.com/cgi/entity_page.cgi?term=100&amp;id=2712","Osteopontin")</f>
        <v>Osteopontin</v>
      </c>
      <c r="D538" s="19" t="str">
        <f>HYPERLINK("https://portal.genego.com/cgi/entity_page.cgi?term=20&amp;id=38507566","SPP1")</f>
        <v>SPP1</v>
      </c>
      <c r="E538" s="5">
        <v>0.63272873276182695</v>
      </c>
      <c r="F538" s="17">
        <v>1.048856E-5</v>
      </c>
    </row>
    <row r="539" spans="1:6" ht="60" customHeight="1" x14ac:dyDescent="0.25">
      <c r="A539" s="27">
        <v>536</v>
      </c>
      <c r="B539" s="28" t="s">
        <v>562</v>
      </c>
      <c r="C539" s="19" t="str">
        <f>HYPERLINK("https://portal.genego.com/cgi/entity_page.cgi?term=100&amp;id=550","Osteoprotegerin")</f>
        <v>Osteoprotegerin</v>
      </c>
      <c r="D539" s="19" t="str">
        <f>HYPERLINK("https://portal.genego.com/cgi/entity_page.cgi?term=20&amp;id=1154672820","TNFRSF11B")</f>
        <v>TNFRSF11B</v>
      </c>
      <c r="E539" s="3">
        <v>1.19174529540895</v>
      </c>
      <c r="F539" s="17">
        <v>2.6679060000000001E-5</v>
      </c>
    </row>
    <row r="540" spans="1:6" ht="60" customHeight="1" x14ac:dyDescent="0.25">
      <c r="A540" s="27">
        <v>537</v>
      </c>
      <c r="B540" s="28" t="s">
        <v>563</v>
      </c>
      <c r="C540" s="19" t="str">
        <f>HYPERLINK("https://portal.genego.com/cgi/entity_page.cgi?term=100&amp;id=-772366756","PACT")</f>
        <v>PACT</v>
      </c>
      <c r="D540" s="19" t="str">
        <f>HYPERLINK("https://portal.genego.com/cgi/entity_page.cgi?term=20&amp;id=-929068709","PRKRA")</f>
        <v>PRKRA</v>
      </c>
      <c r="E540" s="15">
        <v>-0.168207769428736</v>
      </c>
      <c r="F540" s="17">
        <v>0.32272580000000001</v>
      </c>
    </row>
    <row r="541" spans="1:6" ht="60" customHeight="1" x14ac:dyDescent="0.25">
      <c r="A541" s="27">
        <v>538</v>
      </c>
      <c r="B541" s="28" t="s">
        <v>564</v>
      </c>
      <c r="C541" s="19" t="str">
        <f>HYPERLINK("https://portal.genego.com/cgi/entity_page.cgi?term=100&amp;id=561","PAK1")</f>
        <v>PAK1</v>
      </c>
      <c r="D541" s="19" t="str">
        <f>HYPERLINK("https://portal.genego.com/cgi/entity_page.cgi?term=20&amp;id=-1266101148","PAK1")</f>
        <v>PAK1</v>
      </c>
      <c r="E541" s="15">
        <v>-0.154454768285716</v>
      </c>
      <c r="F541" s="17">
        <v>0.3101274</v>
      </c>
    </row>
    <row r="542" spans="1:6" ht="60" customHeight="1" x14ac:dyDescent="0.25">
      <c r="A542" s="27">
        <v>539</v>
      </c>
      <c r="B542" s="28" t="s">
        <v>565</v>
      </c>
      <c r="C542" s="19" t="str">
        <f>HYPERLINK("https://portal.genego.com/cgi/entity_page.cgi?term=100&amp;id=-730205474","PALB2")</f>
        <v>PALB2</v>
      </c>
      <c r="D542" s="19" t="str">
        <f>HYPERLINK("https://portal.genego.com/cgi/entity_page.cgi?term=20&amp;id=79728","PALB2")</f>
        <v>PALB2</v>
      </c>
      <c r="E542" s="8">
        <v>4.2169251282018802E-2</v>
      </c>
      <c r="F542" s="17">
        <v>0.83179009999999998</v>
      </c>
    </row>
    <row r="543" spans="1:6" ht="60" customHeight="1" x14ac:dyDescent="0.25">
      <c r="A543" s="27">
        <v>540</v>
      </c>
      <c r="B543" s="28" t="s">
        <v>566</v>
      </c>
      <c r="C543" s="19" t="str">
        <f>HYPERLINK("https://portal.genego.com/cgi/entity_page.cgi?term=100&amp;id=-221855418","PAM")</f>
        <v>PAM</v>
      </c>
      <c r="D543" s="19" t="str">
        <f>HYPERLINK("https://portal.genego.com/cgi/entity_page.cgi?term=20&amp;id=1598071100","PAM")</f>
        <v>PAM</v>
      </c>
      <c r="E543" s="7">
        <v>0.24330662148212601</v>
      </c>
      <c r="F543" s="17">
        <v>7.8521960000000002E-2</v>
      </c>
    </row>
    <row r="544" spans="1:6" ht="60" customHeight="1" x14ac:dyDescent="0.25">
      <c r="A544" s="27">
        <v>541</v>
      </c>
      <c r="B544" s="28" t="s">
        <v>567</v>
      </c>
      <c r="C544" s="19" t="str">
        <f>HYPERLINK("https://portal.genego.com/cgi/entity_page.cgi?term=100&amp;id=564","PAR1")</f>
        <v>PAR1</v>
      </c>
      <c r="D544" s="19" t="str">
        <f>HYPERLINK("https://portal.genego.com/cgi/entity_page.cgi?term=20&amp;id=-1819009718","F2R")</f>
        <v>F2R</v>
      </c>
      <c r="E544" s="14">
        <v>-0.34396793610437598</v>
      </c>
      <c r="F544" s="17">
        <v>6.5402489999999994E-2</v>
      </c>
    </row>
    <row r="545" spans="1:6" ht="60" customHeight="1" x14ac:dyDescent="0.25">
      <c r="A545" s="27">
        <v>542</v>
      </c>
      <c r="B545" s="28" t="s">
        <v>568</v>
      </c>
      <c r="C545" s="19" t="str">
        <f>HYPERLINK("https://portal.genego.com/cgi/entity_page.cgi?term=100&amp;id=-1552663184","PARD3")</f>
        <v>PARD3</v>
      </c>
      <c r="D545" s="19" t="str">
        <f>HYPERLINK("https://portal.genego.com/cgi/entity_page.cgi?term=20&amp;id=56288","PARD3")</f>
        <v>PARD3</v>
      </c>
      <c r="E545" s="16">
        <v>-4.0701818560247002E-2</v>
      </c>
      <c r="F545" s="17">
        <v>0.81988079999999997</v>
      </c>
    </row>
    <row r="546" spans="1:6" ht="60" customHeight="1" x14ac:dyDescent="0.25">
      <c r="A546" s="27">
        <v>543</v>
      </c>
      <c r="B546" s="28" t="s">
        <v>569</v>
      </c>
      <c r="C546" s="19" t="str">
        <f>HYPERLINK("https://portal.genego.com/cgi/entity_page.cgi?term=100&amp;id=-29714685","PARN")</f>
        <v>PARN</v>
      </c>
      <c r="D546" s="19" t="str">
        <f>HYPERLINK("https://portal.genego.com/cgi/entity_page.cgi?term=20&amp;id=-770081353","PARN")</f>
        <v>PARN</v>
      </c>
      <c r="E546" s="8">
        <v>2.5502238464315201E-2</v>
      </c>
      <c r="F546" s="17">
        <v>0.90090009999999998</v>
      </c>
    </row>
    <row r="547" spans="1:6" ht="60" customHeight="1" x14ac:dyDescent="0.25">
      <c r="A547" s="27">
        <v>544</v>
      </c>
      <c r="B547" s="28" t="s">
        <v>570</v>
      </c>
      <c r="C547" s="19" t="str">
        <f>HYPERLINK("https://portal.genego.com/cgi/entity_page.cgi?term=100&amp;id=2137","PARP-1")</f>
        <v>PARP-1</v>
      </c>
      <c r="D547" s="19" t="str">
        <f>HYPERLINK("https://portal.genego.com/cgi/entity_page.cgi?term=20&amp;id=-2050445995","PARP1")</f>
        <v>PARP1</v>
      </c>
      <c r="E547" s="16">
        <v>-3.4659817284179301E-2</v>
      </c>
      <c r="F547" s="17">
        <v>0.84948610000000002</v>
      </c>
    </row>
    <row r="548" spans="1:6" ht="60" customHeight="1" x14ac:dyDescent="0.25">
      <c r="A548" s="27">
        <v>545</v>
      </c>
      <c r="B548" s="28" t="s">
        <v>571</v>
      </c>
      <c r="C548" s="19" t="str">
        <f>HYPERLINK("https://portal.genego.com/cgi/entity_page.cgi?term=100&amp;id=-3886333","PAX3")</f>
        <v>PAX3</v>
      </c>
      <c r="D548" s="19" t="str">
        <f>HYPERLINK("https://portal.genego.com/cgi/entity_page.cgi?term=20&amp;id=-1906214007","PAX3")</f>
        <v>PAX3</v>
      </c>
      <c r="E548" s="8">
        <v>3.9480565187403104E-3</v>
      </c>
      <c r="F548" s="17">
        <v>1</v>
      </c>
    </row>
    <row r="549" spans="1:6" ht="60" customHeight="1" x14ac:dyDescent="0.25">
      <c r="A549" s="27">
        <v>546</v>
      </c>
      <c r="B549" s="28" t="s">
        <v>572</v>
      </c>
      <c r="C549" s="19" t="str">
        <f>HYPERLINK("https://portal.genego.com/cgi/entity_page.cgi?term=100&amp;id=8150","PBEF")</f>
        <v>PBEF</v>
      </c>
      <c r="D549" s="19" t="str">
        <f>HYPERLINK("https://portal.genego.com/cgi/entity_page.cgi?term=20&amp;id=-373448373","NAMPT")</f>
        <v>NAMPT</v>
      </c>
      <c r="E549" s="16">
        <v>-7.8865044948053104E-3</v>
      </c>
      <c r="F549" s="17">
        <v>0.97003419999999996</v>
      </c>
    </row>
    <row r="550" spans="1:6" ht="60" customHeight="1" x14ac:dyDescent="0.25">
      <c r="A550" s="27">
        <v>547</v>
      </c>
      <c r="B550" s="28" t="s">
        <v>573</v>
      </c>
      <c r="C550" s="19" t="str">
        <f>HYPERLINK("https://portal.genego.com/cgi/entity_page.cgi?term=100&amp;id=-943237252","PCBP-4 (mcg10)")</f>
        <v>PCBP-4 (mcg10)</v>
      </c>
      <c r="D550" s="19" t="str">
        <f>HYPERLINK("https://portal.genego.com/cgi/entity_page.cgi?term=20&amp;id=1308440322","PCBP4")</f>
        <v>PCBP4</v>
      </c>
      <c r="E550" s="16">
        <v>-3.69513789005705E-2</v>
      </c>
      <c r="F550" s="17">
        <v>0.85256259999999995</v>
      </c>
    </row>
    <row r="551" spans="1:6" ht="60" customHeight="1" x14ac:dyDescent="0.25">
      <c r="A551" s="27">
        <v>548</v>
      </c>
      <c r="B551" s="28" t="s">
        <v>574</v>
      </c>
      <c r="C551" s="19" t="str">
        <f>HYPERLINK("https://portal.genego.com/cgi/entity_page.cgi?term=100&amp;id=569","PCNA")</f>
        <v>PCNA</v>
      </c>
      <c r="D551" s="19" t="str">
        <f>HYPERLINK("https://portal.genego.com/cgi/entity_page.cgi?term=20&amp;id=1326756821","PCNA")</f>
        <v>PCNA</v>
      </c>
      <c r="E551" s="14">
        <v>-0.37100892151227199</v>
      </c>
      <c r="F551" s="17">
        <v>6.8055399999999997E-3</v>
      </c>
    </row>
    <row r="552" spans="1:6" ht="60" customHeight="1" x14ac:dyDescent="0.25">
      <c r="A552" s="27">
        <v>549</v>
      </c>
      <c r="B552" s="28" t="s">
        <v>575</v>
      </c>
      <c r="C552" s="19" t="str">
        <f>HYPERLINK("https://portal.genego.com/cgi/entity_page.cgi?term=100&amp;id=-1132936764","PDCD4")</f>
        <v>PDCD4</v>
      </c>
      <c r="D552" s="19" t="str">
        <f>HYPERLINK("https://portal.genego.com/cgi/entity_page.cgi?term=20&amp;id=1986121161","PDCD4")</f>
        <v>PDCD4</v>
      </c>
      <c r="E552" s="16">
        <v>-5.5628784661730102E-2</v>
      </c>
      <c r="F552" s="17">
        <v>0.74863279999999999</v>
      </c>
    </row>
    <row r="553" spans="1:6" ht="60" customHeight="1" x14ac:dyDescent="0.25">
      <c r="A553" s="27">
        <v>550</v>
      </c>
      <c r="B553" s="28" t="s">
        <v>576</v>
      </c>
      <c r="C553" s="19" t="str">
        <f>HYPERLINK("https://portal.genego.com/cgi/entity_page.cgi?term=100&amp;id=571","PDGF-A")</f>
        <v>PDGF-A</v>
      </c>
      <c r="D553" s="19" t="str">
        <f>HYPERLINK("https://portal.genego.com/cgi/entity_page.cgi?term=20&amp;id=1567130800","PDGFA")</f>
        <v>PDGFA</v>
      </c>
      <c r="E553" s="16">
        <v>-8.2757724197409205E-2</v>
      </c>
      <c r="F553" s="17">
        <v>0.64446270000000005</v>
      </c>
    </row>
    <row r="554" spans="1:6" ht="60" customHeight="1" x14ac:dyDescent="0.25">
      <c r="A554" s="27">
        <v>551</v>
      </c>
      <c r="B554" s="28" t="s">
        <v>577</v>
      </c>
      <c r="C554" s="19" t="str">
        <f>HYPERLINK("https://portal.genego.com/cgi/entity_page.cgi?term=100&amp;id=4560","PDGF-B")</f>
        <v>PDGF-B</v>
      </c>
      <c r="D554" s="19" t="str">
        <f>HYPERLINK("https://portal.genego.com/cgi/entity_page.cgi?term=20&amp;id=505805498","PDGFB")</f>
        <v>PDGFB</v>
      </c>
      <c r="E554" s="16">
        <v>-2.4656396851051501E-3</v>
      </c>
      <c r="F554" s="17">
        <v>0.98782859999999995</v>
      </c>
    </row>
    <row r="555" spans="1:6" ht="60" customHeight="1" x14ac:dyDescent="0.25">
      <c r="A555" s="27">
        <v>552</v>
      </c>
      <c r="B555" s="28" t="s">
        <v>578</v>
      </c>
      <c r="C555" s="19" t="str">
        <f>HYPERLINK("https://portal.genego.com/cgi/entity_page.cgi?term=100&amp;id=-2072208596","PDGF-C")</f>
        <v>PDGF-C</v>
      </c>
      <c r="D555" s="19" t="str">
        <f>HYPERLINK("https://portal.genego.com/cgi/entity_page.cgi?term=20&amp;id=56034","PDGFC")</f>
        <v>PDGFC</v>
      </c>
      <c r="E555" s="16">
        <v>-8.4820066824755402E-2</v>
      </c>
      <c r="F555" s="17">
        <v>0.63084850000000003</v>
      </c>
    </row>
    <row r="556" spans="1:6" ht="60" customHeight="1" x14ac:dyDescent="0.25">
      <c r="A556" s="27">
        <v>553</v>
      </c>
      <c r="B556" s="28" t="s">
        <v>579</v>
      </c>
      <c r="C556" s="19" t="str">
        <f>HYPERLINK("https://portal.genego.com/cgi/entity_page.cgi?term=100&amp;id=-170444462","PDGF-D")</f>
        <v>PDGF-D</v>
      </c>
      <c r="D556" s="19" t="str">
        <f>HYPERLINK("https://portal.genego.com/cgi/entity_page.cgi?term=20&amp;id=80310","PDGFD")</f>
        <v>PDGFD</v>
      </c>
      <c r="E556" s="16">
        <v>-4.1178213508473401E-2</v>
      </c>
      <c r="F556" s="17">
        <v>0.82311210000000001</v>
      </c>
    </row>
    <row r="557" spans="1:6" ht="60" customHeight="1" x14ac:dyDescent="0.25">
      <c r="A557" s="27">
        <v>554</v>
      </c>
      <c r="B557" s="28" t="s">
        <v>580</v>
      </c>
      <c r="C557" s="19" t="str">
        <f>HYPERLINK("https://portal.genego.com/cgi/entity_page.cgi?term=100&amp;id=-1327456522","PDIP46")</f>
        <v>PDIP46</v>
      </c>
      <c r="D557" s="19" t="str">
        <f>HYPERLINK("https://portal.genego.com/cgi/entity_page.cgi?term=20&amp;id=84271","POLDIP3")</f>
        <v>POLDIP3</v>
      </c>
      <c r="E557" s="15">
        <v>-0.100713806942162</v>
      </c>
      <c r="F557" s="17">
        <v>0.51791860000000001</v>
      </c>
    </row>
    <row r="558" spans="1:6" ht="60" customHeight="1" x14ac:dyDescent="0.25">
      <c r="A558" s="27">
        <v>555</v>
      </c>
      <c r="B558" s="28" t="s">
        <v>581</v>
      </c>
      <c r="C558" s="19" t="str">
        <f>HYPERLINK("https://portal.genego.com/cgi/entity_page.cgi?term=100&amp;id=800","PDK (PDPK1)")</f>
        <v>PDK (PDPK1)</v>
      </c>
      <c r="D558" s="19" t="str">
        <f>HYPERLINK("https://portal.genego.com/cgi/entity_page.cgi?term=20&amp;id=1863567875","PDPK1")</f>
        <v>PDPK1</v>
      </c>
      <c r="E558" s="6">
        <v>0.34752400134906503</v>
      </c>
      <c r="F558" s="17">
        <v>7.2846359999999999E-2</v>
      </c>
    </row>
    <row r="559" spans="1:6" ht="60" customHeight="1" x14ac:dyDescent="0.25">
      <c r="A559" s="27">
        <v>556</v>
      </c>
      <c r="B559" s="28" t="s">
        <v>582</v>
      </c>
      <c r="C559" s="19" t="str">
        <f>HYPERLINK("https://portal.genego.com/cgi/entity_page.cgi?term=100&amp;id=2359","PDK1")</f>
        <v>PDK1</v>
      </c>
      <c r="D559" s="19" t="str">
        <f>HYPERLINK("https://portal.genego.com/cgi/entity_page.cgi?term=20&amp;id=1729785123","PDK1")</f>
        <v>PDK1</v>
      </c>
      <c r="E559" s="15">
        <v>-0.245995145432989</v>
      </c>
      <c r="F559" s="17">
        <v>0.20144619999999999</v>
      </c>
    </row>
    <row r="560" spans="1:6" ht="60" customHeight="1" x14ac:dyDescent="0.25">
      <c r="A560" s="27">
        <v>557</v>
      </c>
      <c r="B560" s="28" t="s">
        <v>583</v>
      </c>
      <c r="C560" s="19" t="str">
        <f>HYPERLINK("https://portal.genego.com/cgi/entity_page.cgi?term=100&amp;id=-1085753923","PDS5")</f>
        <v>PDS5</v>
      </c>
      <c r="D560" s="19" t="str">
        <f>HYPERLINK("https://portal.genego.com/cgi/entity_page.cgi?term=20&amp;id=23244","PDS5A")</f>
        <v>PDS5A</v>
      </c>
      <c r="E560" s="8">
        <v>3.3261062116658503E-2</v>
      </c>
      <c r="F560" s="17">
        <v>0.86822770000000005</v>
      </c>
    </row>
    <row r="561" spans="1:6" ht="60" customHeight="1" x14ac:dyDescent="0.25">
      <c r="A561" s="27">
        <v>558</v>
      </c>
      <c r="B561" s="28" t="s">
        <v>584</v>
      </c>
      <c r="C561" s="19" t="str">
        <f>HYPERLINK("https://portal.genego.com/cgi/entity_page.cgi?term=100&amp;id=2694","PDZ-RhoGEF")</f>
        <v>PDZ-RhoGEF</v>
      </c>
      <c r="D561" s="19" t="str">
        <f>HYPERLINK("https://portal.genego.com/cgi/entity_page.cgi?term=20&amp;id=703321164","ARHGEF11")</f>
        <v>ARHGEF11</v>
      </c>
      <c r="E561" s="16">
        <v>-6.0375267445568499E-3</v>
      </c>
      <c r="F561" s="17">
        <v>0.97710889999999995</v>
      </c>
    </row>
    <row r="562" spans="1:6" ht="60" customHeight="1" x14ac:dyDescent="0.25">
      <c r="A562" s="27">
        <v>559</v>
      </c>
      <c r="B562" s="28" t="s">
        <v>585</v>
      </c>
      <c r="C562" s="19" t="str">
        <f>HYPERLINK("https://portal.genego.com/cgi/entity_page.cgi?term=100&amp;id=-1212544651","PEA15")</f>
        <v>PEA15</v>
      </c>
      <c r="D562" s="19" t="str">
        <f>HYPERLINK("https://portal.genego.com/cgi/entity_page.cgi?term=20&amp;id=1908266896","PEA15")</f>
        <v>PEA15</v>
      </c>
      <c r="E562" s="7">
        <v>0.117228685639906</v>
      </c>
      <c r="F562" s="17">
        <v>0.47803410000000002</v>
      </c>
    </row>
    <row r="563" spans="1:6" ht="60" customHeight="1" x14ac:dyDescent="0.25">
      <c r="A563" s="27">
        <v>560</v>
      </c>
      <c r="B563" s="28" t="s">
        <v>586</v>
      </c>
      <c r="C563" s="19" t="str">
        <f>HYPERLINK("https://portal.genego.com/cgi/entity_page.cgi?term=100&amp;id=-410831179","PEDF (serpinF1)")</f>
        <v>PEDF (serpinF1)</v>
      </c>
      <c r="D563" s="19" t="str">
        <f>HYPERLINK("https://portal.genego.com/cgi/entity_page.cgi?term=20&amp;id=1015154937","SERPINF1")</f>
        <v>SERPINF1</v>
      </c>
      <c r="E563" s="16">
        <v>-1.63044508624067E-2</v>
      </c>
      <c r="F563" s="17">
        <v>1</v>
      </c>
    </row>
    <row r="564" spans="1:6" ht="60" customHeight="1" x14ac:dyDescent="0.25">
      <c r="A564" s="27">
        <v>561</v>
      </c>
      <c r="B564" s="28" t="s">
        <v>587</v>
      </c>
      <c r="C564" s="19" t="str">
        <f>HYPERLINK("https://portal.genego.com/cgi/entity_page.cgi?term=100&amp;id=-74992310","PEDF-R (iPLA2-zeta)")</f>
        <v>PEDF-R (iPLA2-zeta)</v>
      </c>
      <c r="D564" s="19" t="str">
        <f>HYPERLINK("https://portal.genego.com/cgi/entity_page.cgi?term=20&amp;id=57104","PNPLA2")</f>
        <v>PNPLA2</v>
      </c>
      <c r="E564" s="16">
        <v>-7.5995160627800498E-2</v>
      </c>
      <c r="F564" s="17">
        <v>0.67319870000000004</v>
      </c>
    </row>
    <row r="565" spans="1:6" ht="60" customHeight="1" x14ac:dyDescent="0.25">
      <c r="A565" s="27">
        <v>562</v>
      </c>
      <c r="B565" s="28" t="s">
        <v>588</v>
      </c>
      <c r="C565" s="19" t="str">
        <f>HYPERLINK("https://portal.genego.com/cgi/entity_page.cgi?term=100&amp;id=-656984250","PER3")</f>
        <v>PER3</v>
      </c>
      <c r="D565" s="19" t="str">
        <f>HYPERLINK("https://portal.genego.com/cgi/entity_page.cgi?term=20&amp;id=1645780019","PER3")</f>
        <v>PER3</v>
      </c>
      <c r="E565" s="15">
        <v>-0.12935923253588799</v>
      </c>
      <c r="F565" s="17">
        <v>0.47360790000000003</v>
      </c>
    </row>
    <row r="566" spans="1:6" ht="60" customHeight="1" x14ac:dyDescent="0.25">
      <c r="A566" s="27">
        <v>563</v>
      </c>
      <c r="B566" s="28" t="s">
        <v>589</v>
      </c>
      <c r="C566" s="19" t="str">
        <f>HYPERLINK("https://portal.genego.com/cgi/entity_page.cgi?term=100&amp;id=-1915730325","PEZ")</f>
        <v>PEZ</v>
      </c>
      <c r="D566" s="19" t="str">
        <f>HYPERLINK("https://portal.genego.com/cgi/entity_page.cgi?term=20&amp;id=1570718418","PTPN14")</f>
        <v>PTPN14</v>
      </c>
      <c r="E566" s="7">
        <v>0.30473145646298599</v>
      </c>
      <c r="F566" s="17">
        <v>0.1635306</v>
      </c>
    </row>
    <row r="567" spans="1:6" ht="60" customHeight="1" x14ac:dyDescent="0.25">
      <c r="A567" s="27">
        <v>564</v>
      </c>
      <c r="B567" s="28" t="s">
        <v>590</v>
      </c>
      <c r="C567" s="19" t="str">
        <f>HYPERLINK("https://portal.genego.com/cgi/entity_page.cgi?term=100&amp;id=-1631979429","PFKP")</f>
        <v>PFKP</v>
      </c>
      <c r="D567" s="19" t="str">
        <f>HYPERLINK("https://portal.genego.com/cgi/entity_page.cgi?term=20&amp;id=-160309505","PFKP")</f>
        <v>PFKP</v>
      </c>
      <c r="E567" s="14">
        <v>-0.44784345205187298</v>
      </c>
      <c r="F567" s="17">
        <v>5.7946709999999999E-4</v>
      </c>
    </row>
    <row r="568" spans="1:6" ht="60" customHeight="1" x14ac:dyDescent="0.25">
      <c r="A568" s="27">
        <v>565</v>
      </c>
      <c r="B568" s="28" t="s">
        <v>591</v>
      </c>
      <c r="C568" s="19" t="str">
        <f>HYPERLINK("https://portal.genego.com/cgi/entity_page.cgi?term=100&amp;id=9188","PI3K cat class IA (p110-alpha)")</f>
        <v>PI3K cat class IA (p110-alpha)</v>
      </c>
      <c r="D568" s="19" t="str">
        <f>HYPERLINK("https://portal.genego.com/cgi/entity_page.cgi?term=20&amp;id=808626176","PIK3CA")</f>
        <v>PIK3CA</v>
      </c>
      <c r="E568" s="8">
        <v>9.2174156994331805E-2</v>
      </c>
      <c r="F568" s="17">
        <v>0.60303090000000004</v>
      </c>
    </row>
    <row r="569" spans="1:6" ht="60" customHeight="1" x14ac:dyDescent="0.25">
      <c r="A569" s="27">
        <v>566</v>
      </c>
      <c r="B569" s="28" t="s">
        <v>592</v>
      </c>
      <c r="C569" s="19" t="str">
        <f>HYPERLINK("https://portal.genego.com/cgi/entity_page.cgi?term=100&amp;id=9207","PI3K cat class IA (p110-beta)")</f>
        <v>PI3K cat class IA (p110-beta)</v>
      </c>
      <c r="D569" s="19" t="str">
        <f>HYPERLINK("https://portal.genego.com/cgi/entity_page.cgi?term=20&amp;id=-1953999055","PIK3CB")</f>
        <v>PIK3CB</v>
      </c>
      <c r="E569" s="8">
        <v>8.1473023939363495E-2</v>
      </c>
      <c r="F569" s="17">
        <v>0.65963850000000002</v>
      </c>
    </row>
    <row r="570" spans="1:6" ht="60" customHeight="1" x14ac:dyDescent="0.25">
      <c r="A570" s="27">
        <v>567</v>
      </c>
      <c r="B570" s="28" t="s">
        <v>593</v>
      </c>
      <c r="C570" s="19" t="str">
        <f>HYPERLINK("https://portal.genego.com/cgi/entity_page.cgi?term=100&amp;id=-848857411","PI3K cat class IB (p110-gamma)")</f>
        <v>PI3K cat class IB (p110-gamma)</v>
      </c>
      <c r="D570" s="19" t="str">
        <f>HYPERLINK("https://portal.genego.com/cgi/entity_page.cgi?term=20&amp;id=340669050","PIK3CG")</f>
        <v>PIK3CG</v>
      </c>
      <c r="E570" s="16">
        <v>-4.6868888483116797E-3</v>
      </c>
      <c r="F570" s="17">
        <v>1</v>
      </c>
    </row>
    <row r="571" spans="1:6" ht="60" customHeight="1" x14ac:dyDescent="0.25">
      <c r="A571" s="27">
        <v>568</v>
      </c>
      <c r="B571" s="28" t="s">
        <v>594</v>
      </c>
      <c r="C571" s="19" t="str">
        <f>HYPERLINK("https://portal.genego.com/cgi/entity_page.cgi?term=100&amp;id=9088","PI3K reg class IA (p85-alpha)")</f>
        <v>PI3K reg class IA (p85-alpha)</v>
      </c>
      <c r="D571" s="19" t="str">
        <f>HYPERLINK("https://portal.genego.com/cgi/entity_page.cgi?term=20&amp;id=272240703","PIK3R1")</f>
        <v>PIK3R1</v>
      </c>
      <c r="E571" s="6">
        <v>0.54559352186594801</v>
      </c>
      <c r="F571" s="17">
        <v>1.66765E-2</v>
      </c>
    </row>
    <row r="572" spans="1:6" ht="60" customHeight="1" x14ac:dyDescent="0.25">
      <c r="A572" s="27">
        <v>569</v>
      </c>
      <c r="B572" s="28" t="s">
        <v>595</v>
      </c>
      <c r="C572" s="19" t="str">
        <f>HYPERLINK("https://portal.genego.com/cgi/entity_page.cgi?term=100&amp;id=-322849757","PJA2")</f>
        <v>PJA2</v>
      </c>
      <c r="D572" s="19" t="str">
        <f>HYPERLINK("https://portal.genego.com/cgi/entity_page.cgi?term=20&amp;id=9867","PJA2")</f>
        <v>PJA2</v>
      </c>
      <c r="E572" s="7">
        <v>0.19138681655128201</v>
      </c>
      <c r="F572" s="17">
        <v>0.27667770000000003</v>
      </c>
    </row>
    <row r="573" spans="1:6" ht="60" customHeight="1" x14ac:dyDescent="0.25">
      <c r="A573" s="27">
        <v>570</v>
      </c>
      <c r="B573" s="28" t="s">
        <v>596</v>
      </c>
      <c r="C573" s="19" t="str">
        <f>HYPERLINK("https://portal.genego.com/cgi/entity_page.cgi?term=100&amp;id=-104806591","PKA-cat alpha")</f>
        <v>PKA-cat alpha</v>
      </c>
      <c r="D573" s="19" t="str">
        <f>HYPERLINK("https://portal.genego.com/cgi/entity_page.cgi?term=20&amp;id=2018288499","PRKACA")</f>
        <v>PRKACA</v>
      </c>
      <c r="E573" s="16">
        <v>-4.2783069948870303E-3</v>
      </c>
      <c r="F573" s="17">
        <v>0.98414690000000005</v>
      </c>
    </row>
    <row r="574" spans="1:6" ht="60" customHeight="1" x14ac:dyDescent="0.25">
      <c r="A574" s="27">
        <v>571</v>
      </c>
      <c r="B574" s="28" t="s">
        <v>597</v>
      </c>
      <c r="C574" s="19" t="str">
        <f>HYPERLINK("https://portal.genego.com/cgi/entity_page.cgi?term=100&amp;id=2113","PKC-alpha")</f>
        <v>PKC-alpha</v>
      </c>
      <c r="D574" s="19" t="str">
        <f>HYPERLINK("https://portal.genego.com/cgi/entity_page.cgi?term=20&amp;id=-1536406325","PRKCA")</f>
        <v>PRKCA</v>
      </c>
      <c r="E574" s="16">
        <v>-2.5556621596233401E-2</v>
      </c>
      <c r="F574" s="17">
        <v>0.90194920000000001</v>
      </c>
    </row>
    <row r="575" spans="1:6" ht="60" customHeight="1" x14ac:dyDescent="0.25">
      <c r="A575" s="27">
        <v>572</v>
      </c>
      <c r="B575" s="28" t="s">
        <v>598</v>
      </c>
      <c r="C575" s="19" t="str">
        <f>HYPERLINK("https://portal.genego.com/cgi/entity_page.cgi?term=100&amp;id=2115","PKC-delta")</f>
        <v>PKC-delta</v>
      </c>
      <c r="D575" s="19" t="str">
        <f>HYPERLINK("https://portal.genego.com/cgi/entity_page.cgi?term=20&amp;id=863427024","PRKCD")</f>
        <v>PRKCD</v>
      </c>
      <c r="E575" s="16">
        <v>-2.07557443966126E-2</v>
      </c>
      <c r="F575" s="17">
        <v>0.92164900000000005</v>
      </c>
    </row>
    <row r="576" spans="1:6" ht="60" customHeight="1" x14ac:dyDescent="0.25">
      <c r="A576" s="27">
        <v>573</v>
      </c>
      <c r="B576" s="28" t="s">
        <v>599</v>
      </c>
      <c r="C576" s="19" t="str">
        <f>HYPERLINK("https://portal.genego.com/cgi/entity_page.cgi?term=100&amp;id=2107","PKC-epsilon")</f>
        <v>PKC-epsilon</v>
      </c>
      <c r="D576" s="19" t="str">
        <f>HYPERLINK("https://portal.genego.com/cgi/entity_page.cgi?term=20&amp;id=-1157525753","PRKCE")</f>
        <v>PRKCE</v>
      </c>
      <c r="E576" s="15">
        <v>-0.105034306801078</v>
      </c>
      <c r="F576" s="17">
        <v>0.56357250000000003</v>
      </c>
    </row>
    <row r="577" spans="1:6" ht="60" customHeight="1" x14ac:dyDescent="0.25">
      <c r="A577" s="27">
        <v>574</v>
      </c>
      <c r="B577" s="28" t="s">
        <v>600</v>
      </c>
      <c r="C577" s="19" t="str">
        <f>HYPERLINK("https://portal.genego.com/cgi/entity_page.cgi?term=100&amp;id=2373","PKC-theta")</f>
        <v>PKC-theta</v>
      </c>
      <c r="D577" s="19" t="str">
        <f>HYPERLINK("https://portal.genego.com/cgi/entity_page.cgi?term=20&amp;id=-1524806444","PRKCQ")</f>
        <v>PRKCQ</v>
      </c>
      <c r="E577" s="16">
        <v>-4.1405931543024698E-3</v>
      </c>
      <c r="F577" s="17">
        <v>1</v>
      </c>
    </row>
    <row r="578" spans="1:6" ht="60" customHeight="1" x14ac:dyDescent="0.25">
      <c r="A578" s="27">
        <v>575</v>
      </c>
      <c r="B578" s="28" t="s">
        <v>601</v>
      </c>
      <c r="C578" s="19" t="str">
        <f>HYPERLINK("https://portal.genego.com/cgi/entity_page.cgi?term=100&amp;id=594","PKC-zeta")</f>
        <v>PKC-zeta</v>
      </c>
      <c r="D578" s="19" t="str">
        <f>HYPERLINK("https://portal.genego.com/cgi/entity_page.cgi?term=20&amp;id=799253076","PRKCZ")</f>
        <v>PRKCZ</v>
      </c>
      <c r="E578" s="8">
        <v>4.54044161552192E-3</v>
      </c>
      <c r="F578" s="17">
        <v>1</v>
      </c>
    </row>
    <row r="579" spans="1:6" ht="60" customHeight="1" x14ac:dyDescent="0.25">
      <c r="A579" s="27">
        <v>576</v>
      </c>
      <c r="B579" s="28" t="s">
        <v>602</v>
      </c>
      <c r="C579" s="19" t="str">
        <f>HYPERLINK("https://portal.genego.com/cgi/entity_page.cgi?term=100&amp;id=595","PKR")</f>
        <v>PKR</v>
      </c>
      <c r="D579" s="19" t="str">
        <f>HYPERLINK("https://portal.genego.com/cgi/entity_page.cgi?term=20&amp;id=1937679603","EIF2AK2")</f>
        <v>EIF2AK2</v>
      </c>
      <c r="E579" s="7">
        <v>0.18053469720839799</v>
      </c>
      <c r="F579" s="17">
        <v>0.31885429999999998</v>
      </c>
    </row>
    <row r="580" spans="1:6" ht="60" customHeight="1" x14ac:dyDescent="0.25">
      <c r="A580" s="27">
        <v>577</v>
      </c>
      <c r="B580" s="28" t="s">
        <v>603</v>
      </c>
      <c r="C580" s="19" t="str">
        <f>HYPERLINK("https://portal.genego.com/cgi/entity_page.cgi?term=100&amp;id=-124627262","PLC-beta3")</f>
        <v>PLC-beta3</v>
      </c>
      <c r="D580" s="19" t="str">
        <f>HYPERLINK("https://portal.genego.com/cgi/entity_page.cgi?term=20&amp;id=-629858573","PLCB3")</f>
        <v>PLCB3</v>
      </c>
      <c r="E580" s="15">
        <v>-0.241407316632303</v>
      </c>
      <c r="F580" s="17">
        <v>0.13758000000000001</v>
      </c>
    </row>
    <row r="581" spans="1:6" ht="60" customHeight="1" x14ac:dyDescent="0.25">
      <c r="A581" s="27">
        <v>578</v>
      </c>
      <c r="B581" s="28" t="s">
        <v>604</v>
      </c>
      <c r="C581" s="19" t="str">
        <f>HYPERLINK("https://portal.genego.com/cgi/entity_page.cgi?term=100&amp;id=-918282736","PLC-delta 1")</f>
        <v>PLC-delta 1</v>
      </c>
      <c r="D581" s="19" t="str">
        <f>HYPERLINK("https://portal.genego.com/cgi/entity_page.cgi?term=20&amp;id=-1927288124","PLCD1")</f>
        <v>PLCD1</v>
      </c>
      <c r="E581" s="15">
        <v>-0.208910002211801</v>
      </c>
      <c r="F581" s="17">
        <v>0.26776889999999998</v>
      </c>
    </row>
    <row r="582" spans="1:6" ht="60" customHeight="1" x14ac:dyDescent="0.25">
      <c r="A582" s="27">
        <v>579</v>
      </c>
      <c r="B582" s="28" t="s">
        <v>605</v>
      </c>
      <c r="C582" s="19" t="str">
        <f>HYPERLINK("https://portal.genego.com/cgi/entity_page.cgi?term=100&amp;id=-2120814638","PLC-epsilon")</f>
        <v>PLC-epsilon</v>
      </c>
      <c r="D582" s="19" t="str">
        <f>HYPERLINK("https://portal.genego.com/cgi/entity_page.cgi?term=20&amp;id=-1810504232","PLCE1")</f>
        <v>PLCE1</v>
      </c>
      <c r="E582" s="16">
        <v>-7.9605246292200702E-3</v>
      </c>
      <c r="F582" s="17">
        <v>0.96736080000000002</v>
      </c>
    </row>
    <row r="583" spans="1:6" ht="60" customHeight="1" x14ac:dyDescent="0.25">
      <c r="A583" s="27">
        <v>580</v>
      </c>
      <c r="B583" s="28" t="s">
        <v>606</v>
      </c>
      <c r="C583" s="19" t="str">
        <f>HYPERLINK("https://portal.genego.com/cgi/entity_page.cgi?term=100&amp;id=-687845117","PLC-eta 1")</f>
        <v>PLC-eta 1</v>
      </c>
      <c r="D583" s="19" t="str">
        <f>HYPERLINK("https://portal.genego.com/cgi/entity_page.cgi?term=20&amp;id=23007","PLCH1")</f>
        <v>PLCH1</v>
      </c>
      <c r="E583" s="8">
        <v>2.9988755436315701E-2</v>
      </c>
      <c r="F583" s="17">
        <v>1</v>
      </c>
    </row>
    <row r="584" spans="1:6" ht="60" customHeight="1" x14ac:dyDescent="0.25">
      <c r="A584" s="27">
        <v>581</v>
      </c>
      <c r="B584" s="28" t="s">
        <v>607</v>
      </c>
      <c r="C584" s="19" t="str">
        <f>HYPERLINK("https://portal.genego.com/cgi/entity_page.cgi?term=100&amp;id=8186","PLC-gamma 1")</f>
        <v>PLC-gamma 1</v>
      </c>
      <c r="D584" s="19" t="str">
        <f>HYPERLINK("https://portal.genego.com/cgi/entity_page.cgi?term=20&amp;id=-974362062","PLCG1")</f>
        <v>PLCG1</v>
      </c>
      <c r="E584" s="15">
        <v>-0.19372215851564201</v>
      </c>
      <c r="F584" s="17">
        <v>0.16427230000000001</v>
      </c>
    </row>
    <row r="585" spans="1:6" ht="60" customHeight="1" x14ac:dyDescent="0.25">
      <c r="A585" s="27">
        <v>582</v>
      </c>
      <c r="B585" s="28" t="s">
        <v>608</v>
      </c>
      <c r="C585" s="19" t="str">
        <f>HYPERLINK("https://portal.genego.com/cgi/entity_page.cgi?term=100&amp;id=600","PLD1")</f>
        <v>PLD1</v>
      </c>
      <c r="D585" s="19" t="str">
        <f>HYPERLINK("https://portal.genego.com/cgi/entity_page.cgi?term=20&amp;id=1908506840","PLD1")</f>
        <v>PLD1</v>
      </c>
      <c r="E585" s="8">
        <v>8.6368007163368593E-2</v>
      </c>
      <c r="F585" s="17">
        <v>0.63028589999999995</v>
      </c>
    </row>
    <row r="586" spans="1:6" ht="60" customHeight="1" x14ac:dyDescent="0.25">
      <c r="A586" s="27">
        <v>583</v>
      </c>
      <c r="B586" s="28" t="s">
        <v>609</v>
      </c>
      <c r="C586" s="19" t="str">
        <f>HYPERLINK("https://portal.genego.com/cgi/entity_page.cgi?term=100&amp;id=9250","PLD2")</f>
        <v>PLD2</v>
      </c>
      <c r="D586" s="19" t="str">
        <f>HYPERLINK("https://portal.genego.com/cgi/entity_page.cgi?term=20&amp;id=1223328895","PLD2")</f>
        <v>PLD2</v>
      </c>
      <c r="E586" s="15">
        <v>-0.220874682609736</v>
      </c>
      <c r="F586" s="17">
        <v>0.21205489999999999</v>
      </c>
    </row>
    <row r="587" spans="1:6" ht="60" customHeight="1" x14ac:dyDescent="0.25">
      <c r="A587" s="27">
        <v>584</v>
      </c>
      <c r="B587" s="28" t="s">
        <v>610</v>
      </c>
      <c r="C587" s="19" t="str">
        <f>HYPERLINK("https://portal.genego.com/cgi/entity_page.cgi?term=100&amp;id=-1274972766","PLEKHG2")</f>
        <v>PLEKHG2</v>
      </c>
      <c r="D587" s="19" t="str">
        <f>HYPERLINK("https://portal.genego.com/cgi/entity_page.cgi?term=20&amp;id=-288472851","PLEKHG2")</f>
        <v>PLEKHG2</v>
      </c>
      <c r="E587" s="14">
        <v>-0.39711723771795299</v>
      </c>
      <c r="F587" s="17">
        <v>2.3585269999999998E-2</v>
      </c>
    </row>
    <row r="588" spans="1:6" ht="60" customHeight="1" x14ac:dyDescent="0.25">
      <c r="A588" s="27">
        <v>585</v>
      </c>
      <c r="B588" s="28" t="s">
        <v>611</v>
      </c>
      <c r="C588" s="19" t="str">
        <f>HYPERLINK("https://portal.genego.com/cgi/entity_page.cgi?term=100&amp;id=7033","PLGF")</f>
        <v>PLGF</v>
      </c>
      <c r="D588" s="19" t="str">
        <f>HYPERLINK("https://portal.genego.com/cgi/entity_page.cgi?term=20&amp;id=1893512164","PGF")</f>
        <v>PGF</v>
      </c>
      <c r="E588" s="16">
        <v>-1.2408415943757601E-2</v>
      </c>
      <c r="F588" s="17">
        <v>1</v>
      </c>
    </row>
    <row r="589" spans="1:6" ht="60" customHeight="1" x14ac:dyDescent="0.25">
      <c r="A589" s="27">
        <v>586</v>
      </c>
      <c r="B589" s="28" t="s">
        <v>612</v>
      </c>
      <c r="C589" s="19" t="str">
        <f>HYPERLINK("https://portal.genego.com/cgi/entity_page.cgi?term=100&amp;id=2637","PLK1")</f>
        <v>PLK1</v>
      </c>
      <c r="D589" s="19" t="str">
        <f>HYPERLINK("https://portal.genego.com/cgi/entity_page.cgi?term=20&amp;id=1228562513","PLK1")</f>
        <v>PLK1</v>
      </c>
      <c r="E589" s="11">
        <v>-0.86258651069203196</v>
      </c>
      <c r="F589" s="17">
        <v>3.0169639999999999E-9</v>
      </c>
    </row>
    <row r="590" spans="1:6" ht="60" customHeight="1" x14ac:dyDescent="0.25">
      <c r="A590" s="27">
        <v>587</v>
      </c>
      <c r="B590" s="28" t="s">
        <v>613</v>
      </c>
      <c r="C590" s="19" t="str">
        <f>HYPERLINK("https://portal.genego.com/cgi/entity_page.cgi?term=100&amp;id=2690","PLK3 (CNK)")</f>
        <v>PLK3 (CNK)</v>
      </c>
      <c r="D590" s="19" t="str">
        <f>HYPERLINK("https://portal.genego.com/cgi/entity_page.cgi?term=20&amp;id=-880337905","PLK3")</f>
        <v>PLK3</v>
      </c>
      <c r="E590" s="7">
        <v>0.26586398890990498</v>
      </c>
      <c r="F590" s="17">
        <v>9.4512979999999996E-2</v>
      </c>
    </row>
    <row r="591" spans="1:6" ht="60" customHeight="1" x14ac:dyDescent="0.25">
      <c r="A591" s="27">
        <v>588</v>
      </c>
      <c r="B591" s="28" t="s">
        <v>614</v>
      </c>
      <c r="C591" s="19" t="str">
        <f>HYPERLINK("https://portal.genego.com/cgi/entity_page.cgi?term=100&amp;id=-1562948559","PMF1")</f>
        <v>PMF1</v>
      </c>
      <c r="D591" s="19" t="str">
        <f>HYPERLINK("https://portal.genego.com/cgi/entity_page.cgi?term=20&amp;id=11243","PMF1")</f>
        <v>PMF1</v>
      </c>
      <c r="E591" s="15">
        <v>-0.16120475245334201</v>
      </c>
      <c r="F591" s="17">
        <v>0.3579812</v>
      </c>
    </row>
    <row r="592" spans="1:6" ht="60" customHeight="1" x14ac:dyDescent="0.25">
      <c r="A592" s="27">
        <v>589</v>
      </c>
      <c r="B592" s="28"/>
      <c r="C592" s="19" t="str">
        <f>HYPERLINK("https://portal.genego.com/cgi/entity_page.cgi?term=100&amp;id=-1562948559","PMF1")</f>
        <v>PMF1</v>
      </c>
      <c r="D592" s="19" t="str">
        <f>HYPERLINK("https://portal.genego.com/cgi/entity_page.cgi?term=20&amp;id=-271996670","PMF1-BGLAP")</f>
        <v>PMF1-BGLAP</v>
      </c>
      <c r="E592" s="18"/>
      <c r="F592" s="17"/>
    </row>
    <row r="593" spans="1:6" ht="60" customHeight="1" x14ac:dyDescent="0.25">
      <c r="A593" s="27">
        <v>590</v>
      </c>
      <c r="B593" s="28" t="s">
        <v>615</v>
      </c>
      <c r="C593" s="19" t="str">
        <f>HYPERLINK("https://portal.genego.com/cgi/entity_page.cgi?term=100&amp;id=2421","PML")</f>
        <v>PML</v>
      </c>
      <c r="D593" s="19" t="str">
        <f>HYPERLINK("https://portal.genego.com/cgi/entity_page.cgi?term=20&amp;id=-785233162","PML")</f>
        <v>PML</v>
      </c>
      <c r="E593" s="15">
        <v>-0.130490830793517</v>
      </c>
      <c r="F593" s="17">
        <v>0.39923779999999998</v>
      </c>
    </row>
    <row r="594" spans="1:6" ht="60" customHeight="1" x14ac:dyDescent="0.25">
      <c r="A594" s="27">
        <v>591</v>
      </c>
      <c r="B594" s="28" t="s">
        <v>616</v>
      </c>
      <c r="C594" s="19" t="str">
        <f>HYPERLINK("https://portal.genego.com/cgi/entity_page.cgi?term=100&amp;id=-1600187054","PMP34")</f>
        <v>PMP34</v>
      </c>
      <c r="D594" s="19" t="str">
        <f>HYPERLINK("https://portal.genego.com/cgi/entity_page.cgi?term=20&amp;id=2091084004","SLC25A17")</f>
        <v>SLC25A17</v>
      </c>
      <c r="E594" s="8">
        <v>5.67380863534033E-2</v>
      </c>
      <c r="F594" s="17">
        <v>0.76504220000000001</v>
      </c>
    </row>
    <row r="595" spans="1:6" ht="60" customHeight="1" x14ac:dyDescent="0.25">
      <c r="A595" s="27">
        <v>592</v>
      </c>
      <c r="B595" s="28" t="s">
        <v>617</v>
      </c>
      <c r="C595" s="19" t="str">
        <f>HYPERLINK("https://portal.genego.com/cgi/entity_page.cgi?term=100&amp;id=-1125751014","PMS1")</f>
        <v>PMS1</v>
      </c>
      <c r="D595" s="19" t="str">
        <f>HYPERLINK("https://portal.genego.com/cgi/entity_page.cgi?term=20&amp;id=-1226895662","PMS1")</f>
        <v>PMS1</v>
      </c>
      <c r="E595" s="8">
        <v>1.19161736412788E-2</v>
      </c>
      <c r="F595" s="17">
        <v>0.95593989999999995</v>
      </c>
    </row>
    <row r="596" spans="1:6" ht="60" customHeight="1" x14ac:dyDescent="0.25">
      <c r="A596" s="27">
        <v>593</v>
      </c>
      <c r="B596" s="28" t="s">
        <v>618</v>
      </c>
      <c r="C596" s="19" t="str">
        <f>HYPERLINK("https://portal.genego.com/cgi/entity_page.cgi?term=100&amp;id=-300399629","PNPH")</f>
        <v>PNPH</v>
      </c>
      <c r="D596" s="19" t="str">
        <f>HYPERLINK("https://portal.genego.com/cgi/entity_page.cgi?term=20&amp;id=-1794766176","PNP")</f>
        <v>PNP</v>
      </c>
      <c r="E596" s="6">
        <v>0.57003399163149804</v>
      </c>
      <c r="F596" s="17">
        <v>3.7430519999999998E-4</v>
      </c>
    </row>
    <row r="597" spans="1:6" ht="60" customHeight="1" x14ac:dyDescent="0.25">
      <c r="A597" s="27">
        <v>594</v>
      </c>
      <c r="B597" s="28" t="s">
        <v>619</v>
      </c>
      <c r="C597" s="19" t="str">
        <f>HYPERLINK("https://portal.genego.com/cgi/entity_page.cgi?term=100&amp;id=6244","POLD cat (p125)")</f>
        <v>POLD cat (p125)</v>
      </c>
      <c r="D597" s="19" t="str">
        <f>HYPERLINK("https://portal.genego.com/cgi/entity_page.cgi?term=20&amp;id=80628402","POLD1")</f>
        <v>POLD1</v>
      </c>
      <c r="E597" s="13">
        <v>-0.55385134417230797</v>
      </c>
      <c r="F597" s="17">
        <v>5.9785680000000001E-3</v>
      </c>
    </row>
    <row r="598" spans="1:6" ht="60" customHeight="1" x14ac:dyDescent="0.25">
      <c r="A598" s="27">
        <v>595</v>
      </c>
      <c r="B598" s="28" t="s">
        <v>620</v>
      </c>
      <c r="C598" s="19" t="str">
        <f>HYPERLINK("https://portal.genego.com/cgi/entity_page.cgi?term=100&amp;id=-463665520","POLD reg (p12)")</f>
        <v>POLD reg (p12)</v>
      </c>
      <c r="D598" s="19" t="str">
        <f>HYPERLINK("https://portal.genego.com/cgi/entity_page.cgi?term=20&amp;id=-568016200","POLD4")</f>
        <v>POLD4</v>
      </c>
      <c r="E598" s="15">
        <v>-0.23349696259584299</v>
      </c>
      <c r="F598" s="17">
        <v>0.2009223</v>
      </c>
    </row>
    <row r="599" spans="1:6" ht="60" customHeight="1" x14ac:dyDescent="0.25">
      <c r="A599" s="27">
        <v>596</v>
      </c>
      <c r="B599" s="28" t="s">
        <v>621</v>
      </c>
      <c r="C599" s="19" t="str">
        <f>HYPERLINK("https://portal.genego.com/cgi/entity_page.cgi?term=100&amp;id=-2066037095","POLD reg (p50)")</f>
        <v>POLD reg (p50)</v>
      </c>
      <c r="D599" s="19" t="str">
        <f>HYPERLINK("https://portal.genego.com/cgi/entity_page.cgi?term=20&amp;id=589400943","POLD2")</f>
        <v>POLD2</v>
      </c>
      <c r="E599" s="15">
        <v>-0.195992661483329</v>
      </c>
      <c r="F599" s="17">
        <v>0.25036940000000002</v>
      </c>
    </row>
    <row r="600" spans="1:6" ht="60" customHeight="1" x14ac:dyDescent="0.25">
      <c r="A600" s="27">
        <v>597</v>
      </c>
      <c r="B600" s="28" t="s">
        <v>622</v>
      </c>
      <c r="C600" s="19" t="str">
        <f>HYPERLINK("https://portal.genego.com/cgi/entity_page.cgi?term=100&amp;id=-1459708995","POLD reg (p68)")</f>
        <v>POLD reg (p68)</v>
      </c>
      <c r="D600" s="19" t="str">
        <f>HYPERLINK("https://portal.genego.com/cgi/entity_page.cgi?term=20&amp;id=1665106604","POLD3")</f>
        <v>POLD3</v>
      </c>
      <c r="E600" s="16">
        <v>-4.6710128189949698E-2</v>
      </c>
      <c r="F600" s="17">
        <v>0.80990960000000001</v>
      </c>
    </row>
    <row r="601" spans="1:6" ht="60" customHeight="1" x14ac:dyDescent="0.25">
      <c r="A601" s="27">
        <v>598</v>
      </c>
      <c r="B601" s="28" t="s">
        <v>623</v>
      </c>
      <c r="C601" s="19" t="str">
        <f>HYPERLINK("https://portal.genego.com/cgi/entity_page.cgi?term=100&amp;id=-914915791","POT1")</f>
        <v>POT1</v>
      </c>
      <c r="D601" s="19" t="str">
        <f>HYPERLINK("https://portal.genego.com/cgi/entity_page.cgi?term=20&amp;id=-1885832333","POT1")</f>
        <v>POT1</v>
      </c>
      <c r="E601" s="15">
        <v>-0.13346873624904901</v>
      </c>
      <c r="F601" s="17">
        <v>0.45947110000000002</v>
      </c>
    </row>
    <row r="602" spans="1:6" ht="60" customHeight="1" x14ac:dyDescent="0.25">
      <c r="A602" s="27">
        <v>599</v>
      </c>
      <c r="B602" s="28" t="s">
        <v>624</v>
      </c>
      <c r="C602" s="19" t="str">
        <f>HYPERLINK("https://portal.genego.com/cgi/entity_page.cgi?term=100&amp;id=-409365211","PP1-cat alpha")</f>
        <v>PP1-cat alpha</v>
      </c>
      <c r="D602" s="19" t="str">
        <f>HYPERLINK("https://portal.genego.com/cgi/entity_page.cgi?term=20&amp;id=694651481","PPP1CA")</f>
        <v>PPP1CA</v>
      </c>
      <c r="E602" s="15">
        <v>-0.15461346178247401</v>
      </c>
      <c r="F602" s="17">
        <v>0.35271360000000002</v>
      </c>
    </row>
    <row r="603" spans="1:6" ht="60" customHeight="1" x14ac:dyDescent="0.25">
      <c r="A603" s="27">
        <v>600</v>
      </c>
      <c r="B603" s="28" t="s">
        <v>625</v>
      </c>
      <c r="C603" s="19" t="str">
        <f>HYPERLINK("https://portal.genego.com/cgi/entity_page.cgi?term=100&amp;id=-1840247504","PP2A cat (alpha)")</f>
        <v>PP2A cat (alpha)</v>
      </c>
      <c r="D603" s="19" t="str">
        <f>HYPERLINK("https://portal.genego.com/cgi/entity_page.cgi?term=20&amp;id=-12854838","PPP2CA")</f>
        <v>PPP2CA</v>
      </c>
      <c r="E603" s="16">
        <v>-4.5081356203090103E-2</v>
      </c>
      <c r="F603" s="17">
        <v>0.80482290000000001</v>
      </c>
    </row>
    <row r="604" spans="1:6" ht="60" customHeight="1" x14ac:dyDescent="0.25">
      <c r="A604" s="27">
        <v>601</v>
      </c>
      <c r="B604" s="28" t="s">
        <v>626</v>
      </c>
      <c r="C604" s="19" t="str">
        <f>HYPERLINK("https://portal.genego.com/cgi/entity_page.cgi?term=100&amp;id=609","PPAR-alpha")</f>
        <v>PPAR-alpha</v>
      </c>
      <c r="D604" s="19" t="str">
        <f>HYPERLINK("https://portal.genego.com/cgi/entity_page.cgi?term=20&amp;id=1960845337","PPARA")</f>
        <v>PPARA</v>
      </c>
      <c r="E604" s="8">
        <v>9.8583169821527206E-2</v>
      </c>
      <c r="F604" s="17">
        <v>0.58914670000000002</v>
      </c>
    </row>
    <row r="605" spans="1:6" ht="60" customHeight="1" x14ac:dyDescent="0.25">
      <c r="A605" s="27">
        <v>602</v>
      </c>
      <c r="B605" s="28" t="s">
        <v>627</v>
      </c>
      <c r="C605" s="19" t="str">
        <f>HYPERLINK("https://portal.genego.com/cgi/entity_page.cgi?term=100&amp;id=611","PPAR-gamma")</f>
        <v>PPAR-gamma</v>
      </c>
      <c r="D605" s="19" t="str">
        <f>HYPERLINK("https://portal.genego.com/cgi/entity_page.cgi?term=20&amp;id=-731249355","PPARG")</f>
        <v>PPARG</v>
      </c>
      <c r="E605" s="13">
        <v>-0.64521299537724797</v>
      </c>
      <c r="F605" s="17">
        <v>3.0009500000000001E-3</v>
      </c>
    </row>
    <row r="606" spans="1:6" ht="60" customHeight="1" x14ac:dyDescent="0.25">
      <c r="A606" s="27">
        <v>603</v>
      </c>
      <c r="B606" s="28" t="s">
        <v>628</v>
      </c>
      <c r="C606" s="19" t="str">
        <f>HYPERLINK("https://portal.genego.com/cgi/entity_page.cgi?term=100&amp;id=-2144550483","PPARGC1 (PGC1-alpha)")</f>
        <v>PPARGC1 (PGC1-alpha)</v>
      </c>
      <c r="D606" s="19" t="str">
        <f>HYPERLINK("https://portal.genego.com/cgi/entity_page.cgi?term=20&amp;id=909451495","PPARGC1A")</f>
        <v>PPARGC1A</v>
      </c>
      <c r="E606" s="8">
        <v>1.4296973235269E-2</v>
      </c>
      <c r="F606" s="17">
        <v>1</v>
      </c>
    </row>
    <row r="607" spans="1:6" ht="60" customHeight="1" x14ac:dyDescent="0.25">
      <c r="A607" s="27">
        <v>604</v>
      </c>
      <c r="B607" s="28" t="s">
        <v>629</v>
      </c>
      <c r="C607" s="19" t="str">
        <f>HYPERLINK("https://portal.genego.com/cgi/entity_page.cgi?term=100&amp;id=6403","PPCKC")</f>
        <v>PPCKC</v>
      </c>
      <c r="D607" s="19" t="str">
        <f>HYPERLINK("https://portal.genego.com/cgi/entity_page.cgi?term=20&amp;id=1043785728","PCK1")</f>
        <v>PCK1</v>
      </c>
      <c r="E607" s="8">
        <v>3.9480565187403104E-3</v>
      </c>
      <c r="F607" s="17">
        <v>1</v>
      </c>
    </row>
    <row r="608" spans="1:6" ht="60" customHeight="1" x14ac:dyDescent="0.25">
      <c r="A608" s="27">
        <v>605</v>
      </c>
      <c r="B608" s="28" t="s">
        <v>630</v>
      </c>
      <c r="C608" s="19" t="str">
        <f>HYPERLINK("https://portal.genego.com/cgi/entity_page.cgi?term=100&amp;id=-1391451619","PPIF")</f>
        <v>PPIF</v>
      </c>
      <c r="D608" s="19" t="str">
        <f>HYPERLINK("https://portal.genego.com/cgi/entity_page.cgi?term=20&amp;id=1174023727","PPIF")</f>
        <v>PPIF</v>
      </c>
      <c r="E608" s="8">
        <v>2.36803796570823E-2</v>
      </c>
      <c r="F608" s="17">
        <v>0.91041070000000002</v>
      </c>
    </row>
    <row r="609" spans="1:6" ht="60" customHeight="1" x14ac:dyDescent="0.25">
      <c r="A609" s="27">
        <v>606</v>
      </c>
      <c r="B609" s="28" t="s">
        <v>631</v>
      </c>
      <c r="C609" s="19" t="str">
        <f>HYPERLINK("https://portal.genego.com/cgi/entity_page.cgi?term=100&amp;id=-1682970702","PPNK")</f>
        <v>PPNK</v>
      </c>
      <c r="D609" s="19" t="str">
        <f>HYPERLINK("https://portal.genego.com/cgi/entity_page.cgi?term=20&amp;id=65220","NADK")</f>
        <v>NADK</v>
      </c>
      <c r="E609" s="16">
        <v>-3.8764065947549799E-3</v>
      </c>
      <c r="F609" s="17">
        <v>0.98383069999999995</v>
      </c>
    </row>
    <row r="610" spans="1:6" ht="60" customHeight="1" x14ac:dyDescent="0.25">
      <c r="A610" s="27">
        <v>607</v>
      </c>
      <c r="B610" s="28" t="s">
        <v>632</v>
      </c>
      <c r="C610" s="19" t="str">
        <f>HYPERLINK("https://portal.genego.com/cgi/entity_page.cgi?term=100&amp;id=-1256752900","PPP1R12B")</f>
        <v>PPP1R12B</v>
      </c>
      <c r="D610" s="19" t="str">
        <f>HYPERLINK("https://portal.genego.com/cgi/entity_page.cgi?term=20&amp;id=96797495","PPP1R12B")</f>
        <v>PPP1R12B</v>
      </c>
      <c r="E610" s="8">
        <v>6.4879021988366106E-2</v>
      </c>
      <c r="F610" s="17">
        <v>0.72764030000000002</v>
      </c>
    </row>
    <row r="611" spans="1:6" ht="60" customHeight="1" x14ac:dyDescent="0.25">
      <c r="A611" s="27">
        <v>608</v>
      </c>
      <c r="B611" s="28" t="s">
        <v>633</v>
      </c>
      <c r="C611" s="19" t="str">
        <f>HYPERLINK("https://portal.genego.com/cgi/entity_page.cgi?term=100&amp;id=-1543023594","PPP1R12C")</f>
        <v>PPP1R12C</v>
      </c>
      <c r="D611" s="19" t="str">
        <f>HYPERLINK("https://portal.genego.com/cgi/entity_page.cgi?term=20&amp;id=-2107535086","PPP1R12C")</f>
        <v>PPP1R12C</v>
      </c>
      <c r="E611" s="16">
        <v>-3.6832434276758703E-2</v>
      </c>
      <c r="F611" s="17">
        <v>0.85336699999999999</v>
      </c>
    </row>
    <row r="612" spans="1:6" ht="60" customHeight="1" x14ac:dyDescent="0.25">
      <c r="A612" s="27">
        <v>609</v>
      </c>
      <c r="B612" s="28" t="s">
        <v>634</v>
      </c>
      <c r="C612" s="19" t="str">
        <f>HYPERLINK("https://portal.genego.com/cgi/entity_page.cgi?term=100&amp;id=-1395604613","PPP2R5A")</f>
        <v>PPP2R5A</v>
      </c>
      <c r="D612" s="19" t="str">
        <f>HYPERLINK("https://portal.genego.com/cgi/entity_page.cgi?term=20&amp;id=-146333203","PPP2R5A")</f>
        <v>PPP2R5A</v>
      </c>
      <c r="E612" s="8">
        <v>3.9872898243459902E-2</v>
      </c>
      <c r="F612" s="17">
        <v>0.84017810000000004</v>
      </c>
    </row>
    <row r="613" spans="1:6" ht="60" customHeight="1" x14ac:dyDescent="0.25">
      <c r="A613" s="27">
        <v>610</v>
      </c>
      <c r="B613" s="28" t="s">
        <v>635</v>
      </c>
      <c r="C613" s="19" t="str">
        <f>HYPERLINK("https://portal.genego.com/cgi/entity_page.cgi?term=100&amp;id=-411467889","PRAS40")</f>
        <v>PRAS40</v>
      </c>
      <c r="D613" s="19" t="str">
        <f>HYPERLINK("https://portal.genego.com/cgi/entity_page.cgi?term=20&amp;id=84335","AKT1S1")</f>
        <v>AKT1S1</v>
      </c>
      <c r="E613" s="16">
        <v>-5.27278794183519E-2</v>
      </c>
      <c r="F613" s="17">
        <v>0.7707579</v>
      </c>
    </row>
    <row r="614" spans="1:6" ht="60" customHeight="1" x14ac:dyDescent="0.25">
      <c r="A614" s="27">
        <v>611</v>
      </c>
      <c r="B614" s="28" t="s">
        <v>636</v>
      </c>
      <c r="C614" s="19" t="str">
        <f>HYPERLINK("https://portal.genego.com/cgi/entity_page.cgi?term=100&amp;id=-802681163","PREX1")</f>
        <v>PREX1</v>
      </c>
      <c r="D614" s="19" t="str">
        <f>HYPERLINK("https://portal.genego.com/cgi/entity_page.cgi?term=20&amp;id=57580","PREX1")</f>
        <v>PREX1</v>
      </c>
      <c r="E614" s="14">
        <v>-0.356220430543704</v>
      </c>
      <c r="F614" s="17">
        <v>7.1825680000000003E-2</v>
      </c>
    </row>
    <row r="615" spans="1:6" ht="60" customHeight="1" x14ac:dyDescent="0.25">
      <c r="A615" s="27">
        <v>612</v>
      </c>
      <c r="B615" s="28" t="s">
        <v>637</v>
      </c>
      <c r="C615" s="19" t="str">
        <f>HYPERLINK("https://portal.genego.com/cgi/entity_page.cgi?term=100&amp;id=-368498665","PRK1")</f>
        <v>PRK1</v>
      </c>
      <c r="D615" s="19" t="str">
        <f>HYPERLINK("https://portal.genego.com/cgi/entity_page.cgi?term=20&amp;id=501316207","PKN1")</f>
        <v>PKN1</v>
      </c>
      <c r="E615" s="13">
        <v>-0.50452996454381005</v>
      </c>
      <c r="F615" s="17">
        <v>6.1906970000000002E-3</v>
      </c>
    </row>
    <row r="616" spans="1:6" ht="60" customHeight="1" x14ac:dyDescent="0.25">
      <c r="A616" s="27">
        <v>613</v>
      </c>
      <c r="B616" s="28" t="s">
        <v>638</v>
      </c>
      <c r="C616" s="19" t="str">
        <f>HYPERLINK("https://portal.genego.com/cgi/entity_page.cgi?term=100&amp;id=9156","PRKD1")</f>
        <v>PRKD1</v>
      </c>
      <c r="D616" s="19" t="str">
        <f>HYPERLINK("https://portal.genego.com/cgi/entity_page.cgi?term=20&amp;id=-2089440076","PRKD1")</f>
        <v>PRKD1</v>
      </c>
      <c r="E616" s="16">
        <v>-1.4961419899791E-2</v>
      </c>
      <c r="F616" s="17">
        <v>0.98306260000000001</v>
      </c>
    </row>
    <row r="617" spans="1:6" ht="60" customHeight="1" x14ac:dyDescent="0.25">
      <c r="A617" s="27">
        <v>614</v>
      </c>
      <c r="B617" s="28" t="s">
        <v>639</v>
      </c>
      <c r="C617" s="19" t="str">
        <f>HYPERLINK("https://portal.genego.com/cgi/entity_page.cgi?term=100&amp;id=-299150462","PRMT1")</f>
        <v>PRMT1</v>
      </c>
      <c r="D617" s="19" t="str">
        <f>HYPERLINK("https://portal.genego.com/cgi/entity_page.cgi?term=20&amp;id=-1686339069","PRMT1")</f>
        <v>PRMT1</v>
      </c>
      <c r="E617" s="15">
        <v>-0.20184097668759701</v>
      </c>
      <c r="F617" s="17">
        <v>0.26186379999999998</v>
      </c>
    </row>
    <row r="618" spans="1:6" ht="60" customHeight="1" x14ac:dyDescent="0.25">
      <c r="A618" s="27">
        <v>615</v>
      </c>
      <c r="B618" s="28" t="s">
        <v>640</v>
      </c>
      <c r="C618" s="19" t="str">
        <f>HYPERLINK("https://portal.genego.com/cgi/entity_page.cgi?term=100&amp;id=-1679639417","PTCH1")</f>
        <v>PTCH1</v>
      </c>
      <c r="D618" s="19" t="str">
        <f>HYPERLINK("https://portal.genego.com/cgi/entity_page.cgi?term=20&amp;id=-1974061300","PTCH1")</f>
        <v>PTCH1</v>
      </c>
      <c r="E618" s="8">
        <v>7.7209309605103194E-2</v>
      </c>
      <c r="F618" s="17">
        <v>0.67259029999999997</v>
      </c>
    </row>
    <row r="619" spans="1:6" ht="60" customHeight="1" x14ac:dyDescent="0.25">
      <c r="A619" s="27">
        <v>616</v>
      </c>
      <c r="B619" s="28" t="s">
        <v>641</v>
      </c>
      <c r="C619" s="19" t="str">
        <f>HYPERLINK("https://portal.genego.com/cgi/entity_page.cgi?term=100&amp;id=-391678183","PTE1")</f>
        <v>PTE1</v>
      </c>
      <c r="D619" s="19" t="str">
        <f>HYPERLINK("https://portal.genego.com/cgi/entity_page.cgi?term=20&amp;id=-685200973","ACOT8")</f>
        <v>ACOT8</v>
      </c>
      <c r="E619" s="8">
        <v>4.0864872596501303E-2</v>
      </c>
      <c r="F619" s="17">
        <v>0.83497679999999996</v>
      </c>
    </row>
    <row r="620" spans="1:6" ht="60" customHeight="1" x14ac:dyDescent="0.25">
      <c r="A620" s="27">
        <v>617</v>
      </c>
      <c r="B620" s="28" t="s">
        <v>642</v>
      </c>
      <c r="C620" s="19" t="str">
        <f>HYPERLINK("https://portal.genego.com/cgi/entity_page.cgi?term=100&amp;id=2032","PTEN")</f>
        <v>PTEN</v>
      </c>
      <c r="D620" s="19" t="str">
        <f>HYPERLINK("https://portal.genego.com/cgi/entity_page.cgi?term=20&amp;id=-1818089215","PTEN")</f>
        <v>PTEN</v>
      </c>
      <c r="E620" s="16">
        <v>-9.0000634683812794E-2</v>
      </c>
      <c r="F620" s="17">
        <v>0.61479810000000001</v>
      </c>
    </row>
    <row r="621" spans="1:6" ht="60" customHeight="1" x14ac:dyDescent="0.25">
      <c r="A621" s="27">
        <v>618</v>
      </c>
      <c r="B621" s="28" t="s">
        <v>643</v>
      </c>
      <c r="C621" s="19" t="str">
        <f>HYPERLINK("https://portal.genego.com/cgi/entity_page.cgi?term=100&amp;id=-1229850028","PTOP")</f>
        <v>PTOP</v>
      </c>
      <c r="D621" s="19" t="str">
        <f>HYPERLINK("https://portal.genego.com/cgi/entity_page.cgi?term=20&amp;id=65057","ACD")</f>
        <v>ACD</v>
      </c>
      <c r="E621" s="15">
        <v>-0.12967081165956801</v>
      </c>
      <c r="F621" s="17">
        <v>0.47144130000000001</v>
      </c>
    </row>
    <row r="622" spans="1:6" ht="60" customHeight="1" x14ac:dyDescent="0.25">
      <c r="A622" s="27">
        <v>619</v>
      </c>
      <c r="B622" s="28" t="s">
        <v>644</v>
      </c>
      <c r="C622" s="19" t="str">
        <f>HYPERLINK("https://portal.genego.com/cgi/entity_page.cgi?term=100&amp;id=4048","PUMA")</f>
        <v>PUMA</v>
      </c>
      <c r="D622" s="19" t="str">
        <f>HYPERLINK("https://portal.genego.com/cgi/entity_page.cgi?term=20&amp;id=-1379543250","BBC3")</f>
        <v>BBC3</v>
      </c>
      <c r="E622" s="15">
        <v>-0.162624528719296</v>
      </c>
      <c r="F622" s="17">
        <v>0.3377502</v>
      </c>
    </row>
    <row r="623" spans="1:6" ht="60" customHeight="1" x14ac:dyDescent="0.25">
      <c r="A623" s="27">
        <v>620</v>
      </c>
      <c r="B623" s="28" t="s">
        <v>645</v>
      </c>
      <c r="C623" s="19" t="str">
        <f>HYPERLINK("https://portal.genego.com/cgi/entity_page.cgi?term=100&amp;id=9017","PYGM")</f>
        <v>PYGM</v>
      </c>
      <c r="D623" s="19" t="str">
        <f>HYPERLINK("https://portal.genego.com/cgi/entity_page.cgi?term=20&amp;id=-365917459","PYGM")</f>
        <v>PYGM</v>
      </c>
      <c r="E623" s="8">
        <v>5.6325469117455198E-3</v>
      </c>
      <c r="F623" s="17">
        <v>1</v>
      </c>
    </row>
    <row r="624" spans="1:6" ht="60" customHeight="1" x14ac:dyDescent="0.25">
      <c r="A624" s="27">
        <v>621</v>
      </c>
      <c r="B624" s="28" t="s">
        <v>646</v>
      </c>
      <c r="C624" s="19" t="str">
        <f>HYPERLINK("https://portal.genego.com/cgi/entity_page.cgi?term=100&amp;id=-296987535","Par-4")</f>
        <v>Par-4</v>
      </c>
      <c r="D624" s="19" t="str">
        <f>HYPERLINK("https://portal.genego.com/cgi/entity_page.cgi?term=20&amp;id=1939014662","PAWR")</f>
        <v>PAWR</v>
      </c>
      <c r="E624" s="8">
        <v>3.6385332975306099E-2</v>
      </c>
      <c r="F624" s="17">
        <v>0.85537669999999999</v>
      </c>
    </row>
    <row r="625" spans="1:6" ht="60" customHeight="1" x14ac:dyDescent="0.25">
      <c r="A625" s="27">
        <v>622</v>
      </c>
      <c r="B625" s="28" t="s">
        <v>647</v>
      </c>
      <c r="C625" s="19" t="str">
        <f>HYPERLINK("https://portal.genego.com/cgi/entity_page.cgi?term=100&amp;id=1079","Paxillin")</f>
        <v>Paxillin</v>
      </c>
      <c r="D625" s="19" t="str">
        <f>HYPERLINK("https://portal.genego.com/cgi/entity_page.cgi?term=20&amp;id=-1744706021","PXN")</f>
        <v>PXN</v>
      </c>
      <c r="E625" s="8">
        <v>4.2889265264290002E-2</v>
      </c>
      <c r="F625" s="17">
        <v>0.81309260000000005</v>
      </c>
    </row>
    <row r="626" spans="1:6" ht="60" customHeight="1" x14ac:dyDescent="0.25">
      <c r="A626" s="27">
        <v>623</v>
      </c>
      <c r="B626" s="28" t="s">
        <v>648</v>
      </c>
      <c r="C626" s="19" t="str">
        <f>HYPERLINK("https://portal.genego.com/cgi/entity_page.cgi?term=100&amp;id=6014","Phox1 (PRRX1)")</f>
        <v>Phox1 (PRRX1)</v>
      </c>
      <c r="D626" s="19" t="str">
        <f>HYPERLINK("https://portal.genego.com/cgi/entity_page.cgi?term=20&amp;id=-1746507059","PRRX1")</f>
        <v>PRRX1</v>
      </c>
      <c r="E626" s="15">
        <v>-0.166757437798805</v>
      </c>
      <c r="F626" s="17">
        <v>0.34180959999999999</v>
      </c>
    </row>
    <row r="627" spans="1:6" ht="60" customHeight="1" x14ac:dyDescent="0.25">
      <c r="A627" s="27">
        <v>624</v>
      </c>
      <c r="B627" s="28" t="s">
        <v>649</v>
      </c>
      <c r="C627" s="19" t="str">
        <f>HYPERLINK("https://portal.genego.com/cgi/entity_page.cgi?term=100&amp;id=-1821599095","Pitx2")</f>
        <v>Pitx2</v>
      </c>
      <c r="D627" s="19" t="str">
        <f>HYPERLINK("https://portal.genego.com/cgi/entity_page.cgi?term=20&amp;id=-197603235","PITX2")</f>
        <v>PITX2</v>
      </c>
      <c r="E627" s="8">
        <v>3.4557357056139801E-3</v>
      </c>
      <c r="F627" s="17">
        <v>1</v>
      </c>
    </row>
    <row r="628" spans="1:6" ht="60" customHeight="1" x14ac:dyDescent="0.25">
      <c r="A628" s="27">
        <v>625</v>
      </c>
      <c r="B628" s="28" t="s">
        <v>650</v>
      </c>
      <c r="C628" s="19" t="str">
        <f>HYPERLINK("https://portal.genego.com/cgi/entity_page.cgi?term=100&amp;id=638","Pyk2(FAK2)")</f>
        <v>Pyk2(FAK2)</v>
      </c>
      <c r="D628" s="19" t="str">
        <f>HYPERLINK("https://portal.genego.com/cgi/entity_page.cgi?term=20&amp;id=1154685729","PTK2B")</f>
        <v>PTK2B</v>
      </c>
      <c r="E628" s="8">
        <v>1.81514158671385E-2</v>
      </c>
      <c r="F628" s="17">
        <v>0.93343849999999995</v>
      </c>
    </row>
    <row r="629" spans="1:6" ht="60" customHeight="1" x14ac:dyDescent="0.25">
      <c r="A629" s="27">
        <v>626</v>
      </c>
      <c r="B629" s="28" t="s">
        <v>651</v>
      </c>
      <c r="C629" s="19" t="str">
        <f>HYPERLINK("https://portal.genego.com/cgi/entity_page.cgi?term=100&amp;id=8011","RAG1")</f>
        <v>RAG1</v>
      </c>
      <c r="D629" s="19" t="str">
        <f>HYPERLINK("https://portal.genego.com/cgi/entity_page.cgi?term=20&amp;id=919723920","RAG1")</f>
        <v>RAG1</v>
      </c>
      <c r="E629" s="7">
        <v>0.121474428624058</v>
      </c>
      <c r="F629" s="17">
        <v>1</v>
      </c>
    </row>
    <row r="630" spans="1:6" ht="60" customHeight="1" x14ac:dyDescent="0.25">
      <c r="A630" s="27">
        <v>627</v>
      </c>
      <c r="B630" s="28" t="s">
        <v>652</v>
      </c>
      <c r="C630" s="19" t="str">
        <f>HYPERLINK("https://portal.genego.com/cgi/entity_page.cgi?term=100&amp;id=640","RAIDD")</f>
        <v>RAIDD</v>
      </c>
      <c r="D630" s="19" t="str">
        <f>HYPERLINK("https://portal.genego.com/cgi/entity_page.cgi?term=20&amp;id=1921820038","CRADD")</f>
        <v>CRADD</v>
      </c>
      <c r="E630" s="8">
        <v>6.2298775616813303E-2</v>
      </c>
      <c r="F630" s="17">
        <v>0.72749649999999999</v>
      </c>
    </row>
    <row r="631" spans="1:6" ht="60" customHeight="1" x14ac:dyDescent="0.25">
      <c r="A631" s="27">
        <v>628</v>
      </c>
      <c r="B631" s="28" t="s">
        <v>653</v>
      </c>
      <c r="C631" s="19" t="str">
        <f>HYPERLINK("https://portal.genego.com/cgi/entity_page.cgi?term=100&amp;id=644","RANKL(TNFSF11)")</f>
        <v>RANKL(TNFSF11)</v>
      </c>
      <c r="D631" s="19" t="str">
        <f>HYPERLINK("https://portal.genego.com/cgi/entity_page.cgi?term=20&amp;id=-1259062150","TNFSF11")</f>
        <v>TNFSF11</v>
      </c>
      <c r="E631" s="8">
        <v>7.9463415093304294E-3</v>
      </c>
      <c r="F631" s="17">
        <v>1</v>
      </c>
    </row>
    <row r="632" spans="1:6" ht="60" customHeight="1" x14ac:dyDescent="0.25">
      <c r="A632" s="27">
        <v>629</v>
      </c>
      <c r="B632" s="28" t="s">
        <v>654</v>
      </c>
      <c r="C632" s="19" t="str">
        <f>HYPERLINK("https://portal.genego.com/cgi/entity_page.cgi?term=100&amp;id=4102","RAP-1A")</f>
        <v>RAP-1A</v>
      </c>
      <c r="D632" s="19" t="str">
        <f>HYPERLINK("https://portal.genego.com/cgi/entity_page.cgi?term=20&amp;id=-106353819","RAP1A")</f>
        <v>RAP1A</v>
      </c>
      <c r="E632" s="16">
        <v>-4.3520236703874201E-3</v>
      </c>
      <c r="F632" s="17">
        <v>0.98308569999999995</v>
      </c>
    </row>
    <row r="633" spans="1:6" ht="60" customHeight="1" x14ac:dyDescent="0.25">
      <c r="A633" s="27">
        <v>630</v>
      </c>
      <c r="B633" s="28" t="s">
        <v>655</v>
      </c>
      <c r="C633" s="19" t="str">
        <f>HYPERLINK("https://portal.genego.com/cgi/entity_page.cgi?term=100&amp;id=4105","RAP-1B")</f>
        <v>RAP-1B</v>
      </c>
      <c r="D633" s="19" t="str">
        <f>HYPERLINK("https://portal.genego.com/cgi/entity_page.cgi?term=20&amp;id=-1447071102","RAP1B")</f>
        <v>RAP1B</v>
      </c>
      <c r="E633" s="7">
        <v>0.169959876837007</v>
      </c>
      <c r="F633" s="17">
        <v>0.2260712</v>
      </c>
    </row>
    <row r="634" spans="1:6" ht="60" customHeight="1" x14ac:dyDescent="0.25">
      <c r="A634" s="27">
        <v>631</v>
      </c>
      <c r="B634" s="28" t="s">
        <v>656</v>
      </c>
      <c r="C634" s="19" t="str">
        <f>HYPERLINK("https://portal.genego.com/cgi/entity_page.cgi?term=100&amp;id=-2136372625","RASSF1")</f>
        <v>RASSF1</v>
      </c>
      <c r="D634" s="19" t="str">
        <f>HYPERLINK("https://portal.genego.com/cgi/entity_page.cgi?term=20&amp;id=-1151269567","RASSF1")</f>
        <v>RASSF1</v>
      </c>
      <c r="E634" s="8">
        <v>3.3531381777473099E-2</v>
      </c>
      <c r="F634" s="17">
        <v>0.86729540000000005</v>
      </c>
    </row>
    <row r="635" spans="1:6" ht="60" customHeight="1" x14ac:dyDescent="0.25">
      <c r="A635" s="27">
        <v>632</v>
      </c>
      <c r="B635" s="28" t="s">
        <v>657</v>
      </c>
      <c r="C635" s="19" t="str">
        <f>HYPERLINK("https://portal.genego.com/cgi/entity_page.cgi?term=100&amp;id=-801079137","RASSF2")</f>
        <v>RASSF2</v>
      </c>
      <c r="D635" s="19" t="str">
        <f>HYPERLINK("https://portal.genego.com/cgi/entity_page.cgi?term=20&amp;id=1471385182","RASSF2")</f>
        <v>RASSF2</v>
      </c>
      <c r="E635" s="15">
        <v>-0.16160956835699899</v>
      </c>
      <c r="F635" s="17">
        <v>0.20646039999999999</v>
      </c>
    </row>
    <row r="636" spans="1:6" ht="60" customHeight="1" x14ac:dyDescent="0.25">
      <c r="A636" s="27">
        <v>633</v>
      </c>
      <c r="B636" s="28" t="s">
        <v>658</v>
      </c>
      <c r="C636" s="19" t="str">
        <f>HYPERLINK("https://portal.genego.com/cgi/entity_page.cgi?term=100&amp;id=-91282666","RASSF5")</f>
        <v>RASSF5</v>
      </c>
      <c r="D636" s="19" t="str">
        <f>HYPERLINK("https://portal.genego.com/cgi/entity_page.cgi?term=20&amp;id=-1696721188","RASSF5")</f>
        <v>RASSF5</v>
      </c>
      <c r="E636" s="15">
        <v>-0.205790284226674</v>
      </c>
      <c r="F636" s="17">
        <v>0.248472</v>
      </c>
    </row>
    <row r="637" spans="1:6" ht="60" customHeight="1" x14ac:dyDescent="0.25">
      <c r="A637" s="27">
        <v>634</v>
      </c>
      <c r="B637" s="28" t="s">
        <v>659</v>
      </c>
      <c r="C637" s="19" t="str">
        <f>HYPERLINK("https://portal.genego.com/cgi/entity_page.cgi?term=100&amp;id=-1334383222","RASSF6")</f>
        <v>RASSF6</v>
      </c>
      <c r="D637" s="19" t="str">
        <f>HYPERLINK("https://portal.genego.com/cgi/entity_page.cgi?term=20&amp;id=166824","RASSF6")</f>
        <v>RASSF6</v>
      </c>
      <c r="E637" s="16">
        <v>-1.45056748419977E-2</v>
      </c>
      <c r="F637" s="17">
        <v>1</v>
      </c>
    </row>
    <row r="638" spans="1:6" ht="60" customHeight="1" x14ac:dyDescent="0.25">
      <c r="A638" s="27">
        <v>635</v>
      </c>
      <c r="B638" s="28" t="s">
        <v>660</v>
      </c>
      <c r="C638" s="19" t="str">
        <f>HYPERLINK("https://portal.genego.com/cgi/entity_page.cgi?term=100&amp;id=-723872327","RBBP8 (CtIP)")</f>
        <v>RBBP8 (CtIP)</v>
      </c>
      <c r="D638" s="19" t="str">
        <f>HYPERLINK("https://portal.genego.com/cgi/entity_page.cgi?term=20&amp;id=-2122545365","RBBP8")</f>
        <v>RBBP8</v>
      </c>
      <c r="E638" s="8">
        <v>6.3025185404743903E-2</v>
      </c>
      <c r="F638" s="17">
        <v>0.73081969999999996</v>
      </c>
    </row>
    <row r="639" spans="1:6" ht="60" customHeight="1" x14ac:dyDescent="0.25">
      <c r="A639" s="27">
        <v>636</v>
      </c>
      <c r="B639" s="28" t="s">
        <v>661</v>
      </c>
      <c r="C639" s="19" t="str">
        <f>HYPERLINK("https://portal.genego.com/cgi/entity_page.cgi?term=100&amp;id=2549","RBP-J kappa (CBF1)")</f>
        <v>RBP-J kappa (CBF1)</v>
      </c>
      <c r="D639" s="19" t="str">
        <f>HYPERLINK("https://portal.genego.com/cgi/entity_page.cgi?term=20&amp;id=11650789","RBPJ")</f>
        <v>RBPJ</v>
      </c>
      <c r="E639" s="8">
        <v>5.7028401338232899E-2</v>
      </c>
      <c r="F639" s="17">
        <v>0.75318770000000002</v>
      </c>
    </row>
    <row r="640" spans="1:6" ht="60" customHeight="1" x14ac:dyDescent="0.25">
      <c r="A640" s="27">
        <v>637</v>
      </c>
      <c r="B640" s="28" t="s">
        <v>662</v>
      </c>
      <c r="C640" s="19" t="str">
        <f>HYPERLINK("https://portal.genego.com/cgi/entity_page.cgi?term=100&amp;id=646","RCC1")</f>
        <v>RCC1</v>
      </c>
      <c r="D640" s="19" t="str">
        <f>HYPERLINK("https://portal.genego.com/cgi/entity_page.cgi?term=20&amp;id=50744717","RCC1")</f>
        <v>RCC1</v>
      </c>
      <c r="E640" s="14">
        <v>-0.41552002179460001</v>
      </c>
      <c r="F640" s="17">
        <v>3.4800619999999999E-3</v>
      </c>
    </row>
    <row r="641" spans="1:6" ht="60" customHeight="1" x14ac:dyDescent="0.25">
      <c r="A641" s="27">
        <v>638</v>
      </c>
      <c r="B641" s="28" t="s">
        <v>663</v>
      </c>
      <c r="C641" s="19" t="str">
        <f>HYPERLINK("https://portal.genego.com/cgi/entity_page.cgi?term=100&amp;id=-960671845","RECK")</f>
        <v>RECK</v>
      </c>
      <c r="D641" s="19" t="str">
        <f>HYPERLINK("https://portal.genego.com/cgi/entity_page.cgi?term=20&amp;id=1195146304","RECK")</f>
        <v>RECK</v>
      </c>
      <c r="E641" s="7">
        <v>0.250528614119371</v>
      </c>
      <c r="F641" s="17">
        <v>0.17172799999999999</v>
      </c>
    </row>
    <row r="642" spans="1:6" ht="60" customHeight="1" x14ac:dyDescent="0.25">
      <c r="A642" s="27">
        <v>639</v>
      </c>
      <c r="B642" s="28" t="s">
        <v>664</v>
      </c>
      <c r="C642" s="19" t="str">
        <f>HYPERLINK("https://portal.genego.com/cgi/entity_page.cgi?term=100&amp;id=-431809081","RFC1")</f>
        <v>RFC1</v>
      </c>
      <c r="D642" s="19" t="str">
        <f>HYPERLINK("https://portal.genego.com/cgi/entity_page.cgi?term=20&amp;id=1659081431","RFC1")</f>
        <v>RFC1</v>
      </c>
      <c r="E642" s="8">
        <v>8.6736948491386703E-2</v>
      </c>
      <c r="F642" s="17">
        <v>0.62417250000000002</v>
      </c>
    </row>
    <row r="643" spans="1:6" ht="60" customHeight="1" x14ac:dyDescent="0.25">
      <c r="A643" s="27">
        <v>640</v>
      </c>
      <c r="B643" s="28" t="s">
        <v>665</v>
      </c>
      <c r="C643" s="19" t="str">
        <f>HYPERLINK("https://portal.genego.com/cgi/entity_page.cgi?term=100&amp;id=-734094580","RFC3")</f>
        <v>RFC3</v>
      </c>
      <c r="D643" s="19" t="str">
        <f>HYPERLINK("https://portal.genego.com/cgi/entity_page.cgi?term=20&amp;id=-818764513","RFC3")</f>
        <v>RFC3</v>
      </c>
      <c r="E643" s="15">
        <v>-0.15094832902208399</v>
      </c>
      <c r="F643" s="17">
        <v>0.40152019999999999</v>
      </c>
    </row>
    <row r="644" spans="1:6" ht="60" customHeight="1" x14ac:dyDescent="0.25">
      <c r="A644" s="27">
        <v>641</v>
      </c>
      <c r="B644" s="28" t="s">
        <v>666</v>
      </c>
      <c r="C644" s="19" t="str">
        <f>HYPERLINK("https://portal.genego.com/cgi/entity_page.cgi?term=100&amp;id=-726972811","RFWD3")</f>
        <v>RFWD3</v>
      </c>
      <c r="D644" s="19" t="str">
        <f>HYPERLINK("https://portal.genego.com/cgi/entity_page.cgi?term=20&amp;id=55159","RFWD3")</f>
        <v>RFWD3</v>
      </c>
      <c r="E644" s="7">
        <v>0.17743189014472299</v>
      </c>
      <c r="F644" s="17">
        <v>0.26885310000000001</v>
      </c>
    </row>
    <row r="645" spans="1:6" ht="60" customHeight="1" x14ac:dyDescent="0.25">
      <c r="A645" s="27">
        <v>642</v>
      </c>
      <c r="B645" s="28" t="s">
        <v>667</v>
      </c>
      <c r="C645" s="19" t="str">
        <f>HYPERLINK("https://portal.genego.com/cgi/entity_page.cgi?term=100&amp;id=-259492961","RGL2")</f>
        <v>RGL2</v>
      </c>
      <c r="D645" s="19" t="str">
        <f>HYPERLINK("https://portal.genego.com/cgi/entity_page.cgi?term=20&amp;id=2087522337","RGL2")</f>
        <v>RGL2</v>
      </c>
      <c r="E645" s="14">
        <v>-0.28691810226026099</v>
      </c>
      <c r="F645" s="17">
        <v>9.8100640000000003E-2</v>
      </c>
    </row>
    <row r="646" spans="1:6" ht="60" customHeight="1" x14ac:dyDescent="0.25">
      <c r="A646" s="27">
        <v>643</v>
      </c>
      <c r="B646" s="28" t="s">
        <v>668</v>
      </c>
      <c r="C646" s="19" t="str">
        <f>HYPERLINK("https://portal.genego.com/cgi/entity_page.cgi?term=100&amp;id=655","RHAMM")</f>
        <v>RHAMM</v>
      </c>
      <c r="D646" s="19" t="str">
        <f>HYPERLINK("https://portal.genego.com/cgi/entity_page.cgi?term=20&amp;id=-703217867","HMMR")</f>
        <v>HMMR</v>
      </c>
      <c r="E646" s="14">
        <v>-0.350640681249274</v>
      </c>
      <c r="F646" s="17">
        <v>9.5362730000000007E-2</v>
      </c>
    </row>
    <row r="647" spans="1:6" ht="60" customHeight="1" x14ac:dyDescent="0.25">
      <c r="A647" s="27">
        <v>644</v>
      </c>
      <c r="B647" s="28" t="s">
        <v>669</v>
      </c>
      <c r="C647" s="19" t="str">
        <f>HYPERLINK("https://portal.genego.com/cgi/entity_page.cgi?term=100&amp;id=-241357765","RHEB2")</f>
        <v>RHEB2</v>
      </c>
      <c r="D647" s="19" t="str">
        <f>HYPERLINK("https://portal.genego.com/cgi/entity_page.cgi?term=20&amp;id=110115341","RHEB")</f>
        <v>RHEB</v>
      </c>
      <c r="E647" s="15">
        <v>-0.11229281367328101</v>
      </c>
      <c r="F647" s="17">
        <v>0.49815150000000002</v>
      </c>
    </row>
    <row r="648" spans="1:6" ht="60" customHeight="1" x14ac:dyDescent="0.25">
      <c r="A648" s="27">
        <v>645</v>
      </c>
      <c r="B648" s="28" t="s">
        <v>670</v>
      </c>
      <c r="C648" s="19" t="str">
        <f>HYPERLINK("https://portal.genego.com/cgi/entity_page.cgi?term=100&amp;id=-1097008302","RING-box protein 1")</f>
        <v>RING-box protein 1</v>
      </c>
      <c r="D648" s="19" t="str">
        <f>HYPERLINK("https://portal.genego.com/cgi/entity_page.cgi?term=20&amp;id=9978","RBX1")</f>
        <v>RBX1</v>
      </c>
      <c r="E648" s="15">
        <v>-0.152550376634977</v>
      </c>
      <c r="F648" s="17">
        <v>0.3989954</v>
      </c>
    </row>
    <row r="649" spans="1:6" ht="60" customHeight="1" x14ac:dyDescent="0.25">
      <c r="A649" s="27">
        <v>646</v>
      </c>
      <c r="B649" s="28" t="s">
        <v>671</v>
      </c>
      <c r="C649" s="19" t="str">
        <f>HYPERLINK("https://portal.genego.com/cgi/entity_page.cgi?term=100&amp;id=656","RIPK1")</f>
        <v>RIPK1</v>
      </c>
      <c r="D649" s="19" t="str">
        <f>HYPERLINK("https://portal.genego.com/cgi/entity_page.cgi?term=20&amp;id=-844768129","RIPK1")</f>
        <v>RIPK1</v>
      </c>
      <c r="E649" s="7">
        <v>0.235076032759586</v>
      </c>
      <c r="F649" s="17">
        <v>0.1301194</v>
      </c>
    </row>
    <row r="650" spans="1:6" ht="60" customHeight="1" x14ac:dyDescent="0.25">
      <c r="A650" s="27">
        <v>647</v>
      </c>
      <c r="B650" s="28" t="s">
        <v>672</v>
      </c>
      <c r="C650" s="19" t="str">
        <f>HYPERLINK("https://portal.genego.com/cgi/entity_page.cgi?term=100&amp;id=-1388100158","ROCK1")</f>
        <v>ROCK1</v>
      </c>
      <c r="D650" s="19" t="str">
        <f>HYPERLINK("https://portal.genego.com/cgi/entity_page.cgi?term=20&amp;id=782102950","ROCK1")</f>
        <v>ROCK1</v>
      </c>
      <c r="E650" s="7">
        <v>0.121548890342783</v>
      </c>
      <c r="F650" s="17">
        <v>0.50222889999999998</v>
      </c>
    </row>
    <row r="651" spans="1:6" ht="60" customHeight="1" x14ac:dyDescent="0.25">
      <c r="A651" s="27">
        <v>648</v>
      </c>
      <c r="B651" s="28" t="s">
        <v>673</v>
      </c>
      <c r="C651" s="19" t="str">
        <f>HYPERLINK("https://portal.genego.com/cgi/entity_page.cgi?term=100&amp;id=-1528312382","ROCK2")</f>
        <v>ROCK2</v>
      </c>
      <c r="D651" s="19" t="str">
        <f>HYPERLINK("https://portal.genego.com/cgi/entity_page.cgi?term=20&amp;id=501195040","ROCK2")</f>
        <v>ROCK2</v>
      </c>
      <c r="E651" s="8">
        <v>5.5978881524323003E-2</v>
      </c>
      <c r="F651" s="17">
        <v>0.65902510000000003</v>
      </c>
    </row>
    <row r="652" spans="1:6" ht="60" customHeight="1" x14ac:dyDescent="0.25">
      <c r="A652" s="27">
        <v>649</v>
      </c>
      <c r="B652" s="28" t="s">
        <v>674</v>
      </c>
      <c r="C652" s="19" t="str">
        <f>HYPERLINK("https://portal.genego.com/cgi/entity_page.cgi?term=100&amp;id=-616722738","ROR-gamma")</f>
        <v>ROR-gamma</v>
      </c>
      <c r="D652" s="19" t="str">
        <f>HYPERLINK("https://portal.genego.com/cgi/entity_page.cgi?term=20&amp;id=846191850","RORC")</f>
        <v>RORC</v>
      </c>
      <c r="E652" s="16">
        <v>-4.38742405988541E-3</v>
      </c>
      <c r="F652" s="17">
        <v>1</v>
      </c>
    </row>
    <row r="653" spans="1:6" ht="60" customHeight="1" x14ac:dyDescent="0.25">
      <c r="A653" s="27">
        <v>650</v>
      </c>
      <c r="B653" s="28" t="s">
        <v>675</v>
      </c>
      <c r="C653" s="19" t="str">
        <f>HYPERLINK("https://portal.genego.com/cgi/entity_page.cgi?term=100&amp;id=2741","RPA1")</f>
        <v>RPA1</v>
      </c>
      <c r="D653" s="19" t="str">
        <f>HYPERLINK("https://portal.genego.com/cgi/entity_page.cgi?term=20&amp;id=198864047","RPA1")</f>
        <v>RPA1</v>
      </c>
      <c r="E653" s="16">
        <v>-8.39715414345132E-2</v>
      </c>
      <c r="F653" s="17">
        <v>0.61542909999999995</v>
      </c>
    </row>
    <row r="654" spans="1:6" ht="60" customHeight="1" x14ac:dyDescent="0.25">
      <c r="A654" s="27">
        <v>651</v>
      </c>
      <c r="B654" s="28" t="s">
        <v>676</v>
      </c>
      <c r="C654" s="19" t="str">
        <f>HYPERLINK("https://portal.genego.com/cgi/entity_page.cgi?term=100&amp;id=-1323061007","RPA2")</f>
        <v>RPA2</v>
      </c>
      <c r="D654" s="19" t="str">
        <f>HYPERLINK("https://portal.genego.com/cgi/entity_page.cgi?term=20&amp;id=-1006976767","RPA2")</f>
        <v>RPA2</v>
      </c>
      <c r="E654" s="16">
        <v>-3.7766727668479598E-2</v>
      </c>
      <c r="F654" s="17">
        <v>0.84278690000000001</v>
      </c>
    </row>
    <row r="655" spans="1:6" ht="60" customHeight="1" x14ac:dyDescent="0.25">
      <c r="A655" s="27">
        <v>652</v>
      </c>
      <c r="B655" s="28" t="s">
        <v>677</v>
      </c>
      <c r="C655" s="19" t="str">
        <f>HYPERLINK("https://portal.genego.com/cgi/entity_page.cgi?term=100&amp;id=662","RPA3")</f>
        <v>RPA3</v>
      </c>
      <c r="D655" s="19" t="str">
        <f>HYPERLINK("https://portal.genego.com/cgi/entity_page.cgi?term=20&amp;id=241579655","RPA3")</f>
        <v>RPA3</v>
      </c>
      <c r="E655" s="14">
        <v>-0.28895771657741798</v>
      </c>
      <c r="F655" s="17">
        <v>0.17290990000000001</v>
      </c>
    </row>
    <row r="656" spans="1:6" ht="60" customHeight="1" x14ac:dyDescent="0.25">
      <c r="A656" s="27">
        <v>653</v>
      </c>
      <c r="B656" s="28" t="s">
        <v>678</v>
      </c>
      <c r="C656" s="19" t="str">
        <f>HYPERLINK("https://portal.genego.com/cgi/entity_page.cgi?term=100&amp;id=-1961507262","RPL22")</f>
        <v>RPL22</v>
      </c>
      <c r="D656" s="19" t="str">
        <f>HYPERLINK("https://portal.genego.com/cgi/entity_page.cgi?term=20&amp;id=-1015106874","RPL22")</f>
        <v>RPL22</v>
      </c>
      <c r="E656" s="15">
        <v>-0.238727265294673</v>
      </c>
      <c r="F656" s="17">
        <v>0.15696879999999999</v>
      </c>
    </row>
    <row r="657" spans="1:6" ht="60" customHeight="1" x14ac:dyDescent="0.25">
      <c r="A657" s="27">
        <v>654</v>
      </c>
      <c r="B657" s="28" t="s">
        <v>679</v>
      </c>
      <c r="C657" s="19" t="str">
        <f>HYPERLINK("https://portal.genego.com/cgi/entity_page.cgi?term=100&amp;id=2044","RPS6")</f>
        <v>RPS6</v>
      </c>
      <c r="D657" s="19" t="str">
        <f>HYPERLINK("https://portal.genego.com/cgi/entity_page.cgi?term=20&amp;id=-831887182","RPS6")</f>
        <v>RPS6</v>
      </c>
      <c r="E657" s="14">
        <v>-0.29672976649937899</v>
      </c>
      <c r="F657" s="17">
        <v>0.1146766</v>
      </c>
    </row>
    <row r="658" spans="1:6" ht="60" customHeight="1" x14ac:dyDescent="0.25">
      <c r="A658" s="27">
        <v>655</v>
      </c>
      <c r="B658" s="28" t="s">
        <v>680</v>
      </c>
      <c r="C658" s="19" t="str">
        <f>HYPERLINK("https://portal.genego.com/cgi/entity_page.cgi?term=100&amp;id=-1941046369","RRN3")</f>
        <v>RRN3</v>
      </c>
      <c r="D658" s="19" t="str">
        <f>HYPERLINK("https://portal.genego.com/cgi/entity_page.cgi?term=20&amp;id=54700","RRN3")</f>
        <v>RRN3</v>
      </c>
      <c r="E658" s="6">
        <v>0.40074818535612899</v>
      </c>
      <c r="F658" s="17">
        <v>7.2605170000000002E-3</v>
      </c>
    </row>
    <row r="659" spans="1:6" ht="60" customHeight="1" x14ac:dyDescent="0.25">
      <c r="A659" s="27">
        <v>656</v>
      </c>
      <c r="B659" s="28" t="s">
        <v>681</v>
      </c>
      <c r="C659" s="19" t="str">
        <f>HYPERLINK("https://portal.genego.com/cgi/entity_page.cgi?term=100&amp;id=6013","RUNX2")</f>
        <v>RUNX2</v>
      </c>
      <c r="D659" s="19" t="str">
        <f>HYPERLINK("https://portal.genego.com/cgi/entity_page.cgi?term=20&amp;id=1707206345","RUNX2")</f>
        <v>RUNX2</v>
      </c>
      <c r="E659" s="15">
        <v>-0.17104943353914501</v>
      </c>
      <c r="F659" s="17">
        <v>0.34231529999999999</v>
      </c>
    </row>
    <row r="660" spans="1:6" ht="60" customHeight="1" x14ac:dyDescent="0.25">
      <c r="A660" s="27">
        <v>657</v>
      </c>
      <c r="B660" s="28" t="s">
        <v>682</v>
      </c>
      <c r="C660" s="19" t="str">
        <f>HYPERLINK("https://portal.genego.com/cgi/entity_page.cgi?term=100&amp;id=-1962454279","Rab-10")</f>
        <v>Rab-10</v>
      </c>
      <c r="D660" s="19" t="str">
        <f>HYPERLINK("https://portal.genego.com/cgi/entity_page.cgi?term=20&amp;id=73965563","RAB10")</f>
        <v>RAB10</v>
      </c>
      <c r="E660" s="8">
        <v>0.102633962281165</v>
      </c>
      <c r="F660" s="17">
        <v>0.56645299999999998</v>
      </c>
    </row>
    <row r="661" spans="1:6" ht="60" customHeight="1" x14ac:dyDescent="0.25">
      <c r="A661" s="27">
        <v>658</v>
      </c>
      <c r="B661" s="28" t="s">
        <v>683</v>
      </c>
      <c r="C661" s="19" t="str">
        <f>HYPERLINK("https://portal.genego.com/cgi/entity_page.cgi?term=100&amp;id=669","Rac1")</f>
        <v>Rac1</v>
      </c>
      <c r="D661" s="19" t="str">
        <f>HYPERLINK("https://portal.genego.com/cgi/entity_page.cgi?term=20&amp;id=63240983","RAC1")</f>
        <v>RAC1</v>
      </c>
      <c r="E661" s="16">
        <v>-1.9853199856151402E-2</v>
      </c>
      <c r="F661" s="17">
        <v>0.91901120000000003</v>
      </c>
    </row>
    <row r="662" spans="1:6" ht="60" customHeight="1" x14ac:dyDescent="0.25">
      <c r="A662" s="27">
        <v>659</v>
      </c>
      <c r="B662" s="28" t="s">
        <v>684</v>
      </c>
      <c r="C662" s="19" t="str">
        <f>HYPERLINK("https://portal.genego.com/cgi/entity_page.cgi?term=100&amp;id=-533048414","Rad21")</f>
        <v>Rad21</v>
      </c>
      <c r="D662" s="19" t="str">
        <f>HYPERLINK("https://portal.genego.com/cgi/entity_page.cgi?term=20&amp;id=151635209","RAD21")</f>
        <v>RAD21</v>
      </c>
      <c r="E662" s="15">
        <v>-0.199540229512706</v>
      </c>
      <c r="F662" s="17">
        <v>0.25880069999999999</v>
      </c>
    </row>
    <row r="663" spans="1:6" ht="60" customHeight="1" x14ac:dyDescent="0.25">
      <c r="A663" s="27">
        <v>660</v>
      </c>
      <c r="B663" s="28" t="s">
        <v>685</v>
      </c>
      <c r="C663" s="19" t="str">
        <f>HYPERLINK("https://portal.genego.com/cgi/entity_page.cgi?term=100&amp;id=2187","RalA")</f>
        <v>RalA</v>
      </c>
      <c r="D663" s="19" t="str">
        <f>HYPERLINK("https://portal.genego.com/cgi/entity_page.cgi?term=20&amp;id=-822470614","RALA")</f>
        <v>RALA</v>
      </c>
      <c r="E663" s="8">
        <v>1.22437011610358E-2</v>
      </c>
      <c r="F663" s="17">
        <v>0.95102319999999996</v>
      </c>
    </row>
    <row r="664" spans="1:6" ht="60" customHeight="1" x14ac:dyDescent="0.25">
      <c r="A664" s="27">
        <v>661</v>
      </c>
      <c r="B664" s="28" t="s">
        <v>686</v>
      </c>
      <c r="C664" s="19" t="str">
        <f>HYPERLINK("https://portal.genego.com/cgi/entity_page.cgi?term=100&amp;id=676","Ran")</f>
        <v>Ran</v>
      </c>
      <c r="D664" s="19" t="str">
        <f>HYPERLINK("https://portal.genego.com/cgi/entity_page.cgi?term=20&amp;id=2076573638","RAN")</f>
        <v>RAN</v>
      </c>
      <c r="E664" s="15">
        <v>-9.6975899389145498E-2</v>
      </c>
      <c r="F664" s="17">
        <v>0.55908400000000003</v>
      </c>
    </row>
    <row r="665" spans="1:6" ht="60" customHeight="1" x14ac:dyDescent="0.25">
      <c r="A665" s="27">
        <v>662</v>
      </c>
      <c r="B665" s="28" t="s">
        <v>687</v>
      </c>
      <c r="C665" s="19" t="str">
        <f>HYPERLINK("https://portal.genego.com/cgi/entity_page.cgi?term=100&amp;id=681","Rb protein")</f>
        <v>Rb protein</v>
      </c>
      <c r="D665" s="19" t="str">
        <f>HYPERLINK("https://portal.genego.com/cgi/entity_page.cgi?term=20&amp;id=-1092607950","RB1")</f>
        <v>RB1</v>
      </c>
      <c r="E665" s="8">
        <v>4.3404359358301003E-2</v>
      </c>
      <c r="F665" s="17">
        <v>0.82417110000000005</v>
      </c>
    </row>
    <row r="666" spans="1:6" ht="60" customHeight="1" x14ac:dyDescent="0.25">
      <c r="A666" s="27">
        <v>663</v>
      </c>
      <c r="B666" s="28" t="s">
        <v>688</v>
      </c>
      <c r="C666" s="19" t="str">
        <f>HYPERLINK("https://portal.genego.com/cgi/entity_page.cgi?term=100&amp;id=9063","RelA (p65 NF-kB subunit)")</f>
        <v>RelA (p65 NF-kB subunit)</v>
      </c>
      <c r="D666" s="19" t="str">
        <f>HYPERLINK("https://portal.genego.com/cgi/entity_page.cgi?term=20&amp;id=2133146449","RELA")</f>
        <v>RELA</v>
      </c>
      <c r="E666" s="16">
        <v>-2.8962039302632699E-2</v>
      </c>
      <c r="F666" s="17">
        <v>0.87906340000000005</v>
      </c>
    </row>
    <row r="667" spans="1:6" ht="60" customHeight="1" x14ac:dyDescent="0.25">
      <c r="A667" s="27">
        <v>664</v>
      </c>
      <c r="B667" s="28" t="s">
        <v>689</v>
      </c>
      <c r="C667" s="19" t="str">
        <f>HYPERLINK("https://portal.genego.com/cgi/entity_page.cgi?term=100&amp;id=-1432694657","Reprimo")</f>
        <v>Reprimo</v>
      </c>
      <c r="D667" s="19" t="str">
        <f>HYPERLINK("https://portal.genego.com/cgi/entity_page.cgi?term=20&amp;id=56475","RPRM")</f>
        <v>RPRM</v>
      </c>
      <c r="E667" s="16">
        <v>-2.2766508829293701E-3</v>
      </c>
      <c r="F667" s="17">
        <v>1</v>
      </c>
    </row>
    <row r="668" spans="1:6" ht="60" customHeight="1" x14ac:dyDescent="0.25">
      <c r="A668" s="27">
        <v>665</v>
      </c>
      <c r="B668" s="28" t="s">
        <v>690</v>
      </c>
      <c r="C668" s="19" t="str">
        <f>HYPERLINK("https://portal.genego.com/cgi/entity_page.cgi?term=100&amp;id=686","RhoA")</f>
        <v>RhoA</v>
      </c>
      <c r="D668" s="19" t="str">
        <f>HYPERLINK("https://portal.genego.com/cgi/entity_page.cgi?term=20&amp;id=-459760916","RHOA")</f>
        <v>RHOA</v>
      </c>
      <c r="E668" s="15">
        <v>-0.112729426900194</v>
      </c>
      <c r="F668" s="17">
        <v>0.46116560000000001</v>
      </c>
    </row>
    <row r="669" spans="1:6" ht="60" customHeight="1" x14ac:dyDescent="0.25">
      <c r="A669" s="27">
        <v>666</v>
      </c>
      <c r="B669" s="28" t="s">
        <v>691</v>
      </c>
      <c r="C669" s="19" t="str">
        <f>HYPERLINK("https://portal.genego.com/cgi/entity_page.cgi?term=100&amp;id=2547","RhoGAP5")</f>
        <v>RhoGAP5</v>
      </c>
      <c r="D669" s="19" t="str">
        <f>HYPERLINK("https://portal.genego.com/cgi/entity_page.cgi?term=20&amp;id=778088448","ARHGAP5")</f>
        <v>ARHGAP5</v>
      </c>
      <c r="E669" s="7">
        <v>0.116436180295896</v>
      </c>
      <c r="F669" s="17">
        <v>0.51641060000000005</v>
      </c>
    </row>
    <row r="670" spans="1:6" ht="60" customHeight="1" x14ac:dyDescent="0.25">
      <c r="A670" s="27">
        <v>667</v>
      </c>
      <c r="B670" s="28" t="s">
        <v>692</v>
      </c>
      <c r="C670" s="19" t="str">
        <f>HYPERLINK("https://portal.genego.com/cgi/entity_page.cgi?term=100&amp;id=1120","RhoGDI alpha")</f>
        <v>RhoGDI alpha</v>
      </c>
      <c r="D670" s="19" t="str">
        <f>HYPERLINK("https://portal.genego.com/cgi/entity_page.cgi?term=20&amp;id=1652809532","ARHGDIA")</f>
        <v>ARHGDIA</v>
      </c>
      <c r="E670" s="15">
        <v>-0.104371210154276</v>
      </c>
      <c r="F670" s="17">
        <v>0.54414870000000004</v>
      </c>
    </row>
    <row r="671" spans="1:6" ht="60" customHeight="1" x14ac:dyDescent="0.25">
      <c r="A671" s="27">
        <v>668</v>
      </c>
      <c r="B671" s="28" t="s">
        <v>693</v>
      </c>
      <c r="C671" s="19" t="str">
        <f>HYPERLINK("https://portal.genego.com/cgi/entity_page.cgi?term=100&amp;id=-1196771463","Ribonuclease H1")</f>
        <v>Ribonuclease H1</v>
      </c>
      <c r="D671" s="19" t="str">
        <f>HYPERLINK("https://portal.genego.com/cgi/entity_page.cgi?term=20&amp;id=1375532729","RNASEH1")</f>
        <v>RNASEH1</v>
      </c>
      <c r="E671" s="7">
        <v>0.328313215491636</v>
      </c>
      <c r="F671" s="17">
        <v>6.2558039999999995E-2</v>
      </c>
    </row>
    <row r="672" spans="1:6" ht="60" customHeight="1" x14ac:dyDescent="0.25">
      <c r="A672" s="27">
        <v>669</v>
      </c>
      <c r="B672" s="28" t="s">
        <v>694</v>
      </c>
      <c r="C672" s="19" t="str">
        <f>HYPERLINK("https://portal.genego.com/cgi/entity_page.cgi?term=100&amp;id=-1660391363","Rictor")</f>
        <v>Rictor</v>
      </c>
      <c r="D672" s="19" t="str">
        <f>HYPERLINK("https://portal.genego.com/cgi/entity_page.cgi?term=20&amp;id=253260","RICTOR")</f>
        <v>RICTOR</v>
      </c>
      <c r="E672" s="8">
        <v>9.0759783640377803E-2</v>
      </c>
      <c r="F672" s="17">
        <v>0.59744850000000005</v>
      </c>
    </row>
    <row r="673" spans="1:6" ht="60" customHeight="1" x14ac:dyDescent="0.25">
      <c r="A673" s="27">
        <v>670</v>
      </c>
      <c r="B673" s="28" t="s">
        <v>695</v>
      </c>
      <c r="C673" s="19" t="str">
        <f>HYPERLINK("https://portal.genego.com/cgi/entity_page.cgi?term=100&amp;id=-1266333133","Rod")</f>
        <v>Rod</v>
      </c>
      <c r="D673" s="19" t="str">
        <f>HYPERLINK("https://portal.genego.com/cgi/entity_page.cgi?term=20&amp;id=9735","KNTC1")</f>
        <v>KNTC1</v>
      </c>
      <c r="E673" s="16">
        <v>-4.4170253419350998E-2</v>
      </c>
      <c r="F673" s="17">
        <v>0.81988079999999997</v>
      </c>
    </row>
    <row r="674" spans="1:6" ht="60" customHeight="1" x14ac:dyDescent="0.25">
      <c r="A674" s="27">
        <v>671</v>
      </c>
      <c r="B674" s="28" t="s">
        <v>696</v>
      </c>
      <c r="C674" s="19" t="str">
        <f>HYPERLINK("https://portal.genego.com/cgi/entity_page.cgi?term=100&amp;id=1124","Ryanodine receptor 1")</f>
        <v>Ryanodine receptor 1</v>
      </c>
      <c r="D674" s="19" t="str">
        <f>HYPERLINK("https://portal.genego.com/cgi/entity_page.cgi?term=20&amp;id=-1131245990","RYR1")</f>
        <v>RYR1</v>
      </c>
      <c r="E674" s="8">
        <v>7.8399829332620793E-3</v>
      </c>
      <c r="F674" s="17">
        <v>1</v>
      </c>
    </row>
    <row r="675" spans="1:6" ht="60" customHeight="1" x14ac:dyDescent="0.25">
      <c r="A675" s="27">
        <v>672</v>
      </c>
      <c r="B675" s="28" t="s">
        <v>697</v>
      </c>
      <c r="C675" s="19" t="str">
        <f>HYPERLINK("https://portal.genego.com/cgi/entity_page.cgi?term=100&amp;id=-539659656","S1P2 receptor")</f>
        <v>S1P2 receptor</v>
      </c>
      <c r="D675" s="19" t="str">
        <f>HYPERLINK("https://portal.genego.com/cgi/entity_page.cgi?term=20&amp;id=2146219734","S1PR2")</f>
        <v>S1PR2</v>
      </c>
      <c r="E675" s="16">
        <v>-4.74406301227926E-2</v>
      </c>
      <c r="F675" s="17">
        <v>0.80786550000000001</v>
      </c>
    </row>
    <row r="676" spans="1:6" ht="60" customHeight="1" x14ac:dyDescent="0.25">
      <c r="A676" s="27">
        <v>673</v>
      </c>
      <c r="B676" s="28" t="s">
        <v>698</v>
      </c>
      <c r="C676" s="19" t="str">
        <f>HYPERLINK("https://portal.genego.com/cgi/entity_page.cgi?term=100&amp;id=-1238096534","SAP18")</f>
        <v>SAP18</v>
      </c>
      <c r="D676" s="19" t="str">
        <f>HYPERLINK("https://portal.genego.com/cgi/entity_page.cgi?term=20&amp;id=-946293305","SAP18")</f>
        <v>SAP18</v>
      </c>
      <c r="E676" s="8">
        <v>4.2575822175935397E-2</v>
      </c>
      <c r="F676" s="17">
        <v>0.82844399999999996</v>
      </c>
    </row>
    <row r="677" spans="1:6" ht="60" customHeight="1" x14ac:dyDescent="0.25">
      <c r="A677" s="27">
        <v>674</v>
      </c>
      <c r="B677" s="28" t="s">
        <v>699</v>
      </c>
      <c r="C677" s="19" t="str">
        <f>HYPERLINK("https://portal.genego.com/cgi/entity_page.cgi?term=100&amp;id=-202500732","SARA")</f>
        <v>SARA</v>
      </c>
      <c r="D677" s="19" t="str">
        <f>HYPERLINK("https://portal.genego.com/cgi/entity_page.cgi?term=20&amp;id=686017637","ZFYVE9")</f>
        <v>ZFYVE9</v>
      </c>
      <c r="E677" s="8">
        <v>1.46453616264364E-2</v>
      </c>
      <c r="F677" s="17">
        <v>0.94578209999999996</v>
      </c>
    </row>
    <row r="678" spans="1:6" ht="60" customHeight="1" x14ac:dyDescent="0.25">
      <c r="A678" s="27">
        <v>675</v>
      </c>
      <c r="B678" s="28" t="s">
        <v>700</v>
      </c>
      <c r="C678" s="19" t="str">
        <f>HYPERLINK("https://portal.genego.com/cgi/entity_page.cgi?term=100&amp;id=-2020376611","SC5D")</f>
        <v>SC5D</v>
      </c>
      <c r="D678" s="19" t="str">
        <f>HYPERLINK("https://portal.genego.com/cgi/entity_page.cgi?term=20&amp;id=204673974","SC5D")</f>
        <v>SC5D</v>
      </c>
      <c r="E678" s="7">
        <v>0.22763301703185601</v>
      </c>
      <c r="F678" s="17">
        <v>0.20390030000000001</v>
      </c>
    </row>
    <row r="679" spans="1:6" ht="60" customHeight="1" x14ac:dyDescent="0.25">
      <c r="A679" s="27">
        <v>676</v>
      </c>
      <c r="B679" s="28" t="s">
        <v>701</v>
      </c>
      <c r="C679" s="19" t="str">
        <f>HYPERLINK("https://portal.genego.com/cgi/entity_page.cgi?term=100&amp;id=2242","SCD")</f>
        <v>SCD</v>
      </c>
      <c r="D679" s="19" t="str">
        <f>HYPERLINK("https://portal.genego.com/cgi/entity_page.cgi?term=20&amp;id=41006224","SCD")</f>
        <v>SCD</v>
      </c>
      <c r="E679" s="9">
        <v>-1.2961895751247801</v>
      </c>
      <c r="F679" s="17">
        <v>4.1674050000000002E-20</v>
      </c>
    </row>
    <row r="680" spans="1:6" ht="60" customHeight="1" x14ac:dyDescent="0.25">
      <c r="A680" s="27">
        <v>677</v>
      </c>
      <c r="B680" s="28" t="s">
        <v>702</v>
      </c>
      <c r="C680" s="19" t="str">
        <f>HYPERLINK("https://portal.genego.com/cgi/entity_page.cgi?term=100&amp;id=-1597561964","SCRIB")</f>
        <v>SCRIB</v>
      </c>
      <c r="D680" s="19" t="str">
        <f>HYPERLINK("https://portal.genego.com/cgi/entity_page.cgi?term=20&amp;id=23513","SCRIB")</f>
        <v>SCRIB</v>
      </c>
      <c r="E680" s="15">
        <v>-9.6921425891562496E-2</v>
      </c>
      <c r="F680" s="17">
        <v>0.5909257</v>
      </c>
    </row>
    <row r="681" spans="1:6" ht="60" customHeight="1" x14ac:dyDescent="0.25">
      <c r="A681" s="27">
        <v>678</v>
      </c>
      <c r="B681" s="28" t="s">
        <v>703</v>
      </c>
      <c r="C681" s="19" t="str">
        <f>HYPERLINK("https://portal.genego.com/cgi/entity_page.cgi?term=100&amp;id=693","SDF-1")</f>
        <v>SDF-1</v>
      </c>
      <c r="D681" s="19" t="str">
        <f>HYPERLINK("https://portal.genego.com/cgi/entity_page.cgi?term=20&amp;id=-535915246","CXCL12")</f>
        <v>CXCL12</v>
      </c>
      <c r="E681" s="16">
        <v>-4.1405931543024698E-3</v>
      </c>
      <c r="F681" s="17">
        <v>1</v>
      </c>
    </row>
    <row r="682" spans="1:6" ht="60" customHeight="1" x14ac:dyDescent="0.25">
      <c r="A682" s="27">
        <v>679</v>
      </c>
      <c r="B682" s="28" t="s">
        <v>704</v>
      </c>
      <c r="C682" s="19" t="str">
        <f>HYPERLINK("https://portal.genego.com/cgi/entity_page.cgi?term=100&amp;id=6235","SGK1")</f>
        <v>SGK1</v>
      </c>
      <c r="D682" s="19" t="str">
        <f>HYPERLINK("https://portal.genego.com/cgi/entity_page.cgi?term=20&amp;id=-987358294","SGK1")</f>
        <v>SGK1</v>
      </c>
      <c r="E682" s="8">
        <v>0.112705660866584</v>
      </c>
      <c r="F682" s="17">
        <v>0.48052460000000002</v>
      </c>
    </row>
    <row r="683" spans="1:6" ht="60" customHeight="1" x14ac:dyDescent="0.25">
      <c r="A683" s="27">
        <v>680</v>
      </c>
      <c r="B683" s="28" t="s">
        <v>705</v>
      </c>
      <c r="C683" s="19" t="str">
        <f>HYPERLINK("https://portal.genego.com/cgi/entity_page.cgi?term=100&amp;id=-1633365548","SHARP (SPEN)")</f>
        <v>SHARP (SPEN)</v>
      </c>
      <c r="D683" s="19" t="str">
        <f>HYPERLINK("https://portal.genego.com/cgi/entity_page.cgi?term=20&amp;id=23013","SPEN")</f>
        <v>SPEN</v>
      </c>
      <c r="E683" s="7">
        <v>0.174316160906308</v>
      </c>
      <c r="F683" s="17">
        <v>0.34642689999999998</v>
      </c>
    </row>
    <row r="684" spans="1:6" ht="60" customHeight="1" x14ac:dyDescent="0.25">
      <c r="A684" s="27">
        <v>681</v>
      </c>
      <c r="B684" s="28" t="s">
        <v>706</v>
      </c>
      <c r="C684" s="19" t="str">
        <f>HYPERLINK("https://portal.genego.com/cgi/entity_page.cgi?term=100&amp;id=698","SHP-1")</f>
        <v>SHP-1</v>
      </c>
      <c r="D684" s="19" t="str">
        <f>HYPERLINK("https://portal.genego.com/cgi/entity_page.cgi?term=20&amp;id=842058501","PTPN6")</f>
        <v>PTPN6</v>
      </c>
      <c r="E684" s="16">
        <v>-4.6426711922883503E-3</v>
      </c>
      <c r="F684" s="17">
        <v>1</v>
      </c>
    </row>
    <row r="685" spans="1:6" ht="60" customHeight="1" x14ac:dyDescent="0.25">
      <c r="A685" s="27">
        <v>682</v>
      </c>
      <c r="B685" s="28" t="s">
        <v>707</v>
      </c>
      <c r="C685" s="19" t="str">
        <f>HYPERLINK("https://portal.genego.com/cgi/entity_page.cgi?term=100&amp;id=699","SHP-2")</f>
        <v>SHP-2</v>
      </c>
      <c r="D685" s="19" t="str">
        <f>HYPERLINK("https://portal.genego.com/cgi/entity_page.cgi?term=20&amp;id=-1493674587","PTPN11")</f>
        <v>PTPN11</v>
      </c>
      <c r="E685" s="7">
        <v>0.17723194381461899</v>
      </c>
      <c r="F685" s="17">
        <v>0.32849149999999999</v>
      </c>
    </row>
    <row r="686" spans="1:6" ht="60" customHeight="1" x14ac:dyDescent="0.25">
      <c r="A686" s="27">
        <v>683</v>
      </c>
      <c r="B686" s="28" t="s">
        <v>708</v>
      </c>
      <c r="C686" s="19" t="str">
        <f>HYPERLINK("https://portal.genego.com/cgi/entity_page.cgi?term=100&amp;id=-1084979860","SIAH2")</f>
        <v>SIAH2</v>
      </c>
      <c r="D686" s="19" t="str">
        <f>HYPERLINK("https://portal.genego.com/cgi/entity_page.cgi?term=20&amp;id=-1550211586","SIAH2")</f>
        <v>SIAH2</v>
      </c>
      <c r="E686" s="8">
        <v>9.6706393651855793E-2</v>
      </c>
      <c r="F686" s="17">
        <v>0.59010569999999996</v>
      </c>
    </row>
    <row r="687" spans="1:6" ht="60" customHeight="1" x14ac:dyDescent="0.25">
      <c r="A687" s="27">
        <v>684</v>
      </c>
      <c r="B687" s="28" t="s">
        <v>709</v>
      </c>
      <c r="C687" s="19" t="str">
        <f>HYPERLINK("https://portal.genego.com/cgi/entity_page.cgi?term=100&amp;id=-1640635108","SIN1")</f>
        <v>SIN1</v>
      </c>
      <c r="D687" s="19" t="str">
        <f>HYPERLINK("https://portal.genego.com/cgi/entity_page.cgi?term=20&amp;id=784079429","MAPKAP1")</f>
        <v>MAPKAP1</v>
      </c>
      <c r="E687" s="8">
        <v>6.9252763622779698E-2</v>
      </c>
      <c r="F687" s="17">
        <v>0.66589180000000003</v>
      </c>
    </row>
    <row r="688" spans="1:6" ht="60" customHeight="1" x14ac:dyDescent="0.25">
      <c r="A688" s="27">
        <v>685</v>
      </c>
      <c r="B688" s="28" t="s">
        <v>710</v>
      </c>
      <c r="C688" s="19" t="str">
        <f>HYPERLINK("https://portal.genego.com/cgi/entity_page.cgi?term=100&amp;id=-703706922","SIP1 (ZFHX1B)")</f>
        <v>SIP1 (ZFHX1B)</v>
      </c>
      <c r="D688" s="19" t="str">
        <f>HYPERLINK("https://portal.genego.com/cgi/entity_page.cgi?term=20&amp;id=-1646174556","ZEB2")</f>
        <v>ZEB2</v>
      </c>
      <c r="E688" s="8">
        <v>0.108129989956818</v>
      </c>
      <c r="F688" s="17">
        <v>0.55504659999999995</v>
      </c>
    </row>
    <row r="689" spans="1:6" ht="60" customHeight="1" x14ac:dyDescent="0.25">
      <c r="A689" s="27">
        <v>686</v>
      </c>
      <c r="B689" s="28" t="s">
        <v>711</v>
      </c>
      <c r="C689" s="19" t="str">
        <f>HYPERLINK("https://portal.genego.com/cgi/entity_page.cgi?term=100&amp;id=-1594704623","SIVA1")</f>
        <v>SIVA1</v>
      </c>
      <c r="D689" s="19" t="str">
        <f>HYPERLINK("https://portal.genego.com/cgi/entity_page.cgi?term=20&amp;id=10572","SIVA1")</f>
        <v>SIVA1</v>
      </c>
      <c r="E689" s="15">
        <v>-0.110063119968626</v>
      </c>
      <c r="F689" s="17">
        <v>0.54482580000000003</v>
      </c>
    </row>
    <row r="690" spans="1:6" ht="60" customHeight="1" x14ac:dyDescent="0.25">
      <c r="A690" s="27">
        <v>687</v>
      </c>
      <c r="B690" s="28" t="s">
        <v>712</v>
      </c>
      <c r="C690" s="19" t="str">
        <f>HYPERLINK("https://portal.genego.com/cgi/entity_page.cgi?term=100&amp;id=2275","SKP1")</f>
        <v>SKP1</v>
      </c>
      <c r="D690" s="19" t="str">
        <f>HYPERLINK("https://portal.genego.com/cgi/entity_page.cgi?term=20&amp;id=-1082951164","SKP1")</f>
        <v>SKP1</v>
      </c>
      <c r="E690" s="16">
        <v>-6.8492997757749294E-2</v>
      </c>
      <c r="F690" s="17">
        <v>0.70626040000000001</v>
      </c>
    </row>
    <row r="691" spans="1:6" ht="60" customHeight="1" x14ac:dyDescent="0.25">
      <c r="A691" s="27">
        <v>688</v>
      </c>
      <c r="B691" s="28" t="s">
        <v>713</v>
      </c>
      <c r="C691" s="19" t="str">
        <f>HYPERLINK("https://portal.genego.com/cgi/entity_page.cgi?term=100&amp;id=1072","SKP2")</f>
        <v>SKP2</v>
      </c>
      <c r="D691" s="19" t="str">
        <f>HYPERLINK("https://portal.genego.com/cgi/entity_page.cgi?term=20&amp;id=-394157572","SKP2")</f>
        <v>SKP2</v>
      </c>
      <c r="E691" s="15">
        <v>-0.14192070933923601</v>
      </c>
      <c r="F691" s="17">
        <v>0.42416799999999999</v>
      </c>
    </row>
    <row r="692" spans="1:6" ht="60" customHeight="1" x14ac:dyDescent="0.25">
      <c r="A692" s="27">
        <v>689</v>
      </c>
      <c r="B692" s="28" t="s">
        <v>714</v>
      </c>
      <c r="C692" s="19" t="str">
        <f>HYPERLINK("https://portal.genego.com/cgi/entity_page.cgi?term=100&amp;id=9237","SLC12A1")</f>
        <v>SLC12A1</v>
      </c>
      <c r="D692" s="19" t="str">
        <f>HYPERLINK("https://portal.genego.com/cgi/entity_page.cgi?term=20&amp;id=342330768","SLC12A1")</f>
        <v>SLC12A1</v>
      </c>
      <c r="E692" s="8">
        <v>4.0283116163788704E-3</v>
      </c>
      <c r="F692" s="17">
        <v>1</v>
      </c>
    </row>
    <row r="693" spans="1:6" ht="60" customHeight="1" x14ac:dyDescent="0.25">
      <c r="A693" s="27">
        <v>690</v>
      </c>
      <c r="B693" s="28" t="s">
        <v>715</v>
      </c>
      <c r="C693" s="19" t="str">
        <f>HYPERLINK("https://portal.genego.com/cgi/entity_page.cgi?term=100&amp;id=-783218741","SLC16A3")</f>
        <v>SLC16A3</v>
      </c>
      <c r="D693" s="19" t="str">
        <f>HYPERLINK("https://portal.genego.com/cgi/entity_page.cgi?term=20&amp;id=950160619","SLC16A3")</f>
        <v>SLC16A3</v>
      </c>
      <c r="E693" s="14">
        <v>-0.33209825172676199</v>
      </c>
      <c r="F693" s="17">
        <v>7.2005920000000001E-2</v>
      </c>
    </row>
    <row r="694" spans="1:6" ht="60" customHeight="1" x14ac:dyDescent="0.25">
      <c r="A694" s="27">
        <v>691</v>
      </c>
      <c r="B694" s="28" t="s">
        <v>716</v>
      </c>
      <c r="C694" s="19" t="str">
        <f>HYPERLINK("https://portal.genego.com/cgi/entity_page.cgi?term=100&amp;id=-1604449619","SLC22A13")</f>
        <v>SLC22A13</v>
      </c>
      <c r="D694" s="19" t="str">
        <f>HYPERLINK("https://portal.genego.com/cgi/entity_page.cgi?term=20&amp;id=-937879752","SLC22A13")</f>
        <v>SLC22A13</v>
      </c>
      <c r="E694" s="16">
        <v>-7.1338876101747E-3</v>
      </c>
      <c r="F694" s="17">
        <v>1</v>
      </c>
    </row>
    <row r="695" spans="1:6" ht="60" customHeight="1" x14ac:dyDescent="0.25">
      <c r="A695" s="27">
        <v>692</v>
      </c>
      <c r="B695" s="28" t="s">
        <v>717</v>
      </c>
      <c r="C695" s="19" t="str">
        <f>HYPERLINK("https://portal.genego.com/cgi/entity_page.cgi?term=100&amp;id=-1912407766","SLC22A2")</f>
        <v>SLC22A2</v>
      </c>
      <c r="D695" s="19" t="str">
        <f>HYPERLINK("https://portal.genego.com/cgi/entity_page.cgi?term=20&amp;id=59819953","SLC22A2")</f>
        <v>SLC22A2</v>
      </c>
      <c r="E695" s="16">
        <v>-3.4062964094619501E-3</v>
      </c>
      <c r="F695" s="17">
        <v>1</v>
      </c>
    </row>
    <row r="696" spans="1:6" ht="60" customHeight="1" x14ac:dyDescent="0.25">
      <c r="A696" s="27">
        <v>693</v>
      </c>
      <c r="B696" s="28" t="s">
        <v>718</v>
      </c>
      <c r="C696" s="19" t="str">
        <f>HYPERLINK("https://portal.genego.com/cgi/entity_page.cgi?term=100&amp;id=-736852024","SLC29A2")</f>
        <v>SLC29A2</v>
      </c>
      <c r="D696" s="19" t="str">
        <f>HYPERLINK("https://portal.genego.com/cgi/entity_page.cgi?term=20&amp;id=1777439768","SLC29A2")</f>
        <v>SLC29A2</v>
      </c>
      <c r="E696" s="15">
        <v>-0.26772779717459899</v>
      </c>
      <c r="F696" s="17">
        <v>0.192938</v>
      </c>
    </row>
    <row r="697" spans="1:6" ht="60" customHeight="1" x14ac:dyDescent="0.25">
      <c r="A697" s="27">
        <v>694</v>
      </c>
      <c r="B697" s="28" t="s">
        <v>719</v>
      </c>
      <c r="C697" s="19" t="str">
        <f>HYPERLINK("https://portal.genego.com/cgi/entity_page.cgi?term=100&amp;id=-451859595","SLC36A1")</f>
        <v>SLC36A1</v>
      </c>
      <c r="D697" s="19" t="str">
        <f>HYPERLINK("https://portal.genego.com/cgi/entity_page.cgi?term=20&amp;id=-178919797","SLC36A1")</f>
        <v>SLC36A1</v>
      </c>
      <c r="E697" s="5">
        <v>0.70468712059517802</v>
      </c>
      <c r="F697" s="17">
        <v>1.3809740000000001E-3</v>
      </c>
    </row>
    <row r="698" spans="1:6" ht="60" customHeight="1" x14ac:dyDescent="0.25">
      <c r="A698" s="27">
        <v>695</v>
      </c>
      <c r="B698" s="28" t="s">
        <v>720</v>
      </c>
      <c r="C698" s="19" t="str">
        <f>HYPERLINK("https://portal.genego.com/cgi/entity_page.cgi?term=100&amp;id=-276894390","SLC4A2")</f>
        <v>SLC4A2</v>
      </c>
      <c r="D698" s="19" t="str">
        <f>HYPERLINK("https://portal.genego.com/cgi/entity_page.cgi?term=20&amp;id=1168664541","SLC4A2")</f>
        <v>SLC4A2</v>
      </c>
      <c r="E698" s="15">
        <v>-0.21091869648598299</v>
      </c>
      <c r="F698" s="17">
        <v>0.21205489999999999</v>
      </c>
    </row>
    <row r="699" spans="1:6" ht="60" customHeight="1" x14ac:dyDescent="0.25">
      <c r="A699" s="27">
        <v>696</v>
      </c>
      <c r="B699" s="28" t="s">
        <v>721</v>
      </c>
      <c r="C699" s="19" t="str">
        <f>HYPERLINK("https://portal.genego.com/cgi/entity_page.cgi?term=100&amp;id=-1679781842","SLC5A12")</f>
        <v>SLC5A12</v>
      </c>
      <c r="D699" s="19" t="str">
        <f>HYPERLINK("https://portal.genego.com/cgi/entity_page.cgi?term=20&amp;id=159963","SLC5A12")</f>
        <v>SLC5A12</v>
      </c>
      <c r="E699" s="16">
        <v>-1.8361363037481201E-2</v>
      </c>
      <c r="F699" s="17">
        <v>1</v>
      </c>
    </row>
    <row r="700" spans="1:6" ht="60" customHeight="1" x14ac:dyDescent="0.25">
      <c r="A700" s="27">
        <v>697</v>
      </c>
      <c r="B700" s="28" t="s">
        <v>722</v>
      </c>
      <c r="C700" s="19" t="str">
        <f>HYPERLINK("https://portal.genego.com/cgi/entity_page.cgi?term=100&amp;id=-1659642710","SLUG")</f>
        <v>SLUG</v>
      </c>
      <c r="D700" s="19" t="str">
        <f>HYPERLINK("https://portal.genego.com/cgi/entity_page.cgi?term=20&amp;id=-807717561","SNAI2")</f>
        <v>SNAI2</v>
      </c>
      <c r="E700" s="7">
        <v>0.12869303534347901</v>
      </c>
      <c r="F700" s="17">
        <v>0.47369280000000002</v>
      </c>
    </row>
    <row r="701" spans="1:6" ht="60" customHeight="1" x14ac:dyDescent="0.25">
      <c r="A701" s="27">
        <v>698</v>
      </c>
      <c r="B701" s="28" t="s">
        <v>723</v>
      </c>
      <c r="C701" s="19" t="str">
        <f>HYPERLINK("https://portal.genego.com/cgi/entity_page.cgi?term=100&amp;id=6436","SMAD1")</f>
        <v>SMAD1</v>
      </c>
      <c r="D701" s="19" t="str">
        <f>HYPERLINK("https://portal.genego.com/cgi/entity_page.cgi?term=20&amp;id=-1722330718","SMAD1")</f>
        <v>SMAD1</v>
      </c>
      <c r="E701" s="16">
        <v>-4.8081795516138101E-2</v>
      </c>
      <c r="F701" s="17">
        <v>0.8065599</v>
      </c>
    </row>
    <row r="702" spans="1:6" ht="60" customHeight="1" x14ac:dyDescent="0.25">
      <c r="A702" s="27">
        <v>699</v>
      </c>
      <c r="B702" s="28" t="s">
        <v>724</v>
      </c>
      <c r="C702" s="19" t="str">
        <f>HYPERLINK("https://portal.genego.com/cgi/entity_page.cgi?term=100&amp;id=6011","SMAD2")</f>
        <v>SMAD2</v>
      </c>
      <c r="D702" s="19" t="str">
        <f>HYPERLINK("https://portal.genego.com/cgi/entity_page.cgi?term=20&amp;id=-1821820119","SMAD2")</f>
        <v>SMAD2</v>
      </c>
      <c r="E702" s="8">
        <v>4.4454739934737903E-3</v>
      </c>
      <c r="F702" s="17">
        <v>0.98308569999999995</v>
      </c>
    </row>
    <row r="703" spans="1:6" ht="60" customHeight="1" x14ac:dyDescent="0.25">
      <c r="A703" s="27">
        <v>700</v>
      </c>
      <c r="B703" s="28" t="s">
        <v>725</v>
      </c>
      <c r="C703" s="19" t="str">
        <f>HYPERLINK("https://portal.genego.com/cgi/entity_page.cgi?term=100&amp;id=4322","SMAD3")</f>
        <v>SMAD3</v>
      </c>
      <c r="D703" s="19" t="str">
        <f>HYPERLINK("https://portal.genego.com/cgi/entity_page.cgi?term=20&amp;id=-156328993","SMAD3")</f>
        <v>SMAD3</v>
      </c>
      <c r="E703" s="7">
        <v>0.24474202084978</v>
      </c>
      <c r="F703" s="17">
        <v>8.3538959999999995E-2</v>
      </c>
    </row>
    <row r="704" spans="1:6" ht="60" customHeight="1" x14ac:dyDescent="0.25">
      <c r="A704" s="27">
        <v>701</v>
      </c>
      <c r="B704" s="28" t="s">
        <v>726</v>
      </c>
      <c r="C704" s="19" t="str">
        <f>HYPERLINK("https://portal.genego.com/cgi/entity_page.cgi?term=100&amp;id=733","SMAD4")</f>
        <v>SMAD4</v>
      </c>
      <c r="D704" s="19" t="str">
        <f>HYPERLINK("https://portal.genego.com/cgi/entity_page.cgi?term=20&amp;id=837172278","SMAD4")</f>
        <v>SMAD4</v>
      </c>
      <c r="E704" s="16">
        <v>-1.08355221822308E-2</v>
      </c>
      <c r="F704" s="17">
        <v>0.95862289999999994</v>
      </c>
    </row>
    <row r="705" spans="1:6" ht="60" customHeight="1" x14ac:dyDescent="0.25">
      <c r="A705" s="27">
        <v>702</v>
      </c>
      <c r="B705" s="28" t="s">
        <v>727</v>
      </c>
      <c r="C705" s="19" t="str">
        <f>HYPERLINK("https://portal.genego.com/cgi/entity_page.cgi?term=100&amp;id=2515","SMAR1")</f>
        <v>SMAR1</v>
      </c>
      <c r="D705" s="19" t="str">
        <f>HYPERLINK("https://portal.genego.com/cgi/entity_page.cgi?term=20&amp;id=1230559364","BANP")</f>
        <v>BANP</v>
      </c>
      <c r="E705" s="15">
        <v>-0.24621127387891201</v>
      </c>
      <c r="F705" s="17">
        <v>0.21310970000000001</v>
      </c>
    </row>
    <row r="706" spans="1:6" ht="60" customHeight="1" x14ac:dyDescent="0.25">
      <c r="A706" s="27">
        <v>703</v>
      </c>
      <c r="B706" s="28" t="s">
        <v>728</v>
      </c>
      <c r="C706" s="19" t="str">
        <f>HYPERLINK("https://portal.genego.com/cgi/entity_page.cgi?term=100&amp;id=-1188252678","SMC1")</f>
        <v>SMC1</v>
      </c>
      <c r="D706" s="19" t="str">
        <f>HYPERLINK("https://portal.genego.com/cgi/entity_page.cgi?term=20&amp;id=8243","SMC1A")</f>
        <v>SMC1A</v>
      </c>
      <c r="E706" s="8">
        <v>0.10076150562500399</v>
      </c>
      <c r="F706" s="17">
        <v>0.57365390000000005</v>
      </c>
    </row>
    <row r="707" spans="1:6" ht="60" customHeight="1" x14ac:dyDescent="0.25">
      <c r="A707" s="27">
        <v>704</v>
      </c>
      <c r="B707" s="28" t="s">
        <v>729</v>
      </c>
      <c r="C707" s="19" t="str">
        <f>HYPERLINK("https://portal.genego.com/cgi/entity_page.cgi?term=100&amp;id=-1322186003","SMC3")</f>
        <v>SMC3</v>
      </c>
      <c r="D707" s="19" t="str">
        <f>HYPERLINK("https://portal.genego.com/cgi/entity_page.cgi?term=20&amp;id=-635731420","SMC3")</f>
        <v>SMC3</v>
      </c>
      <c r="E707" s="15">
        <v>-0.16263449972614499</v>
      </c>
      <c r="F707" s="17">
        <v>0.34037709999999999</v>
      </c>
    </row>
    <row r="708" spans="1:6" ht="60" customHeight="1" x14ac:dyDescent="0.25">
      <c r="A708" s="27">
        <v>705</v>
      </c>
      <c r="B708" s="28" t="s">
        <v>730</v>
      </c>
      <c r="C708" s="19" t="str">
        <f>HYPERLINK("https://portal.genego.com/cgi/entity_page.cgi?term=100&amp;id=-782787808","SMG1")</f>
        <v>SMG1</v>
      </c>
      <c r="D708" s="19" t="str">
        <f>HYPERLINK("https://portal.genego.com/cgi/entity_page.cgi?term=20&amp;id=-389551596","SMG1")</f>
        <v>SMG1</v>
      </c>
      <c r="E708" s="8">
        <v>8.7017603074109301E-2</v>
      </c>
      <c r="F708" s="17">
        <v>0.51114979999999999</v>
      </c>
    </row>
    <row r="709" spans="1:6" ht="60" customHeight="1" x14ac:dyDescent="0.25">
      <c r="A709" s="27">
        <v>706</v>
      </c>
      <c r="B709" s="28" t="s">
        <v>731</v>
      </c>
      <c r="C709" s="19" t="str">
        <f>HYPERLINK("https://portal.genego.com/cgi/entity_page.cgi?term=100&amp;id=-50872036","SNAIL1")</f>
        <v>SNAIL1</v>
      </c>
      <c r="D709" s="19" t="str">
        <f>HYPERLINK("https://portal.genego.com/cgi/entity_page.cgi?term=20&amp;id=1799696659","SNAI1")</f>
        <v>SNAI1</v>
      </c>
      <c r="E709" s="16">
        <v>-4.93556085521255E-2</v>
      </c>
      <c r="F709" s="17">
        <v>0.78741209999999995</v>
      </c>
    </row>
    <row r="710" spans="1:6" ht="60" customHeight="1" x14ac:dyDescent="0.25">
      <c r="A710" s="27">
        <v>707</v>
      </c>
      <c r="B710" s="28" t="s">
        <v>732</v>
      </c>
      <c r="C710" s="19" t="str">
        <f>HYPERLINK("https://portal.genego.com/cgi/entity_page.cgi?term=100&amp;id=6155","SOCS1")</f>
        <v>SOCS1</v>
      </c>
      <c r="D710" s="19" t="str">
        <f>HYPERLINK("https://portal.genego.com/cgi/entity_page.cgi?term=20&amp;id=-1443518222","SOCS1")</f>
        <v>SOCS1</v>
      </c>
      <c r="E710" s="8">
        <v>8.9393177561997803E-3</v>
      </c>
      <c r="F710" s="17">
        <v>0.94966459999999997</v>
      </c>
    </row>
    <row r="711" spans="1:6" ht="60" customHeight="1" x14ac:dyDescent="0.25">
      <c r="A711" s="27">
        <v>708</v>
      </c>
      <c r="B711" s="28" t="s">
        <v>733</v>
      </c>
      <c r="C711" s="19" t="str">
        <f>HYPERLINK("https://portal.genego.com/cgi/entity_page.cgi?term=100&amp;id=-297485372","SOD3 (EC-SOD)")</f>
        <v>SOD3 (EC-SOD)</v>
      </c>
      <c r="D711" s="19" t="str">
        <f>HYPERLINK("https://portal.genego.com/cgi/entity_page.cgi?term=20&amp;id=-1808315201","SOD3")</f>
        <v>SOD3</v>
      </c>
      <c r="E711" s="15">
        <v>-0.116042752996073</v>
      </c>
      <c r="F711" s="17">
        <v>0.51089949999999995</v>
      </c>
    </row>
    <row r="712" spans="1:6" ht="60" customHeight="1" x14ac:dyDescent="0.25">
      <c r="A712" s="27">
        <v>709</v>
      </c>
      <c r="B712" s="28" t="s">
        <v>734</v>
      </c>
      <c r="C712" s="19" t="str">
        <f>HYPERLINK("https://portal.genego.com/cgi/entity_page.cgi?term=100&amp;id=-1588370417","SOS1")</f>
        <v>SOS1</v>
      </c>
      <c r="D712" s="19" t="str">
        <f>HYPERLINK("https://portal.genego.com/cgi/entity_page.cgi?term=20&amp;id=1437347829","SOS1")</f>
        <v>SOS1</v>
      </c>
      <c r="E712" s="8">
        <v>8.8682220956666197E-2</v>
      </c>
      <c r="F712" s="17">
        <v>0.61947010000000002</v>
      </c>
    </row>
    <row r="713" spans="1:6" ht="60" customHeight="1" x14ac:dyDescent="0.25">
      <c r="A713" s="27">
        <v>710</v>
      </c>
      <c r="B713" s="28" t="s">
        <v>735</v>
      </c>
      <c r="C713" s="19" t="str">
        <f>HYPERLINK("https://portal.genego.com/cgi/entity_page.cgi?term=100&amp;id=6129","SOX17")</f>
        <v>SOX17</v>
      </c>
      <c r="D713" s="19" t="str">
        <f>HYPERLINK("https://portal.genego.com/cgi/entity_page.cgi?term=20&amp;id=64321","SOX17")</f>
        <v>SOX17</v>
      </c>
      <c r="E713" s="8">
        <v>3.9480565187403104E-3</v>
      </c>
      <c r="F713" s="17">
        <v>1</v>
      </c>
    </row>
    <row r="714" spans="1:6" ht="60" customHeight="1" x14ac:dyDescent="0.25">
      <c r="A714" s="27">
        <v>711</v>
      </c>
      <c r="B714" s="28" t="s">
        <v>736</v>
      </c>
      <c r="C714" s="19" t="str">
        <f>HYPERLINK("https://portal.genego.com/cgi/entity_page.cgi?term=100&amp;id=-549052033","SOX2")</f>
        <v>SOX2</v>
      </c>
      <c r="D714" s="19" t="str">
        <f>HYPERLINK("https://portal.genego.com/cgi/entity_page.cgi?term=20&amp;id=-2008956364","SOX2")</f>
        <v>SOX2</v>
      </c>
      <c r="E714" s="16">
        <v>-6.1716946849505504E-3</v>
      </c>
      <c r="F714" s="17">
        <v>1</v>
      </c>
    </row>
    <row r="715" spans="1:6" ht="60" customHeight="1" x14ac:dyDescent="0.25">
      <c r="A715" s="27">
        <v>712</v>
      </c>
      <c r="B715" s="28" t="s">
        <v>737</v>
      </c>
      <c r="C715" s="19" t="str">
        <f>HYPERLINK("https://portal.genego.com/cgi/entity_page.cgi?term=100&amp;id=4297","SOX9")</f>
        <v>SOX9</v>
      </c>
      <c r="D715" s="19" t="str">
        <f>HYPERLINK("https://portal.genego.com/cgi/entity_page.cgi?term=20&amp;id=94813755","SOX9")</f>
        <v>SOX9</v>
      </c>
      <c r="E715" s="7">
        <v>0.247544597315108</v>
      </c>
      <c r="F715" s="17">
        <v>0.12610469999999999</v>
      </c>
    </row>
    <row r="716" spans="1:6" ht="60" customHeight="1" x14ac:dyDescent="0.25">
      <c r="A716" s="27">
        <v>713</v>
      </c>
      <c r="B716" s="28" t="s">
        <v>738</v>
      </c>
      <c r="C716" s="19" t="str">
        <f>HYPERLINK("https://portal.genego.com/cgi/entity_page.cgi?term=100&amp;id=2498","SP1")</f>
        <v>SP1</v>
      </c>
      <c r="D716" s="19" t="str">
        <f>HYPERLINK("https://portal.genego.com/cgi/entity_page.cgi?term=20&amp;id=-731496050","SP1")</f>
        <v>SP1</v>
      </c>
      <c r="E716" s="8">
        <v>2.99676340459063E-2</v>
      </c>
      <c r="F716" s="17">
        <v>0.88342419999999999</v>
      </c>
    </row>
    <row r="717" spans="1:6" ht="60" customHeight="1" x14ac:dyDescent="0.25">
      <c r="A717" s="27">
        <v>714</v>
      </c>
      <c r="B717" s="28" t="s">
        <v>739</v>
      </c>
      <c r="C717" s="19" t="str">
        <f>HYPERLINK("https://portal.genego.com/cgi/entity_page.cgi?term=100&amp;id=2554","SP3")</f>
        <v>SP3</v>
      </c>
      <c r="D717" s="19" t="str">
        <f>HYPERLINK("https://portal.genego.com/cgi/entity_page.cgi?term=20&amp;id=1752378186","SP3")</f>
        <v>SP3</v>
      </c>
      <c r="E717" s="16">
        <v>-5.7724358542357301E-2</v>
      </c>
      <c r="F717" s="17">
        <v>0.76098960000000004</v>
      </c>
    </row>
    <row r="718" spans="1:6" ht="60" customHeight="1" x14ac:dyDescent="0.25">
      <c r="A718" s="27">
        <v>715</v>
      </c>
      <c r="B718" s="28" t="s">
        <v>740</v>
      </c>
      <c r="C718" s="19" t="str">
        <f>HYPERLINK("https://portal.genego.com/cgi/entity_page.cgi?term=100&amp;id=-636753165","SP7")</f>
        <v>SP7</v>
      </c>
      <c r="D718" s="19" t="str">
        <f>HYPERLINK("https://portal.genego.com/cgi/entity_page.cgi?term=20&amp;id=-846509725","SP7")</f>
        <v>SP7</v>
      </c>
      <c r="E718" s="8">
        <v>3.9480565187403104E-3</v>
      </c>
      <c r="F718" s="17">
        <v>1</v>
      </c>
    </row>
    <row r="719" spans="1:6" ht="60" customHeight="1" x14ac:dyDescent="0.25">
      <c r="A719" s="27">
        <v>716</v>
      </c>
      <c r="B719" s="28" t="s">
        <v>741</v>
      </c>
      <c r="C719" s="19" t="str">
        <f>HYPERLINK("https://portal.genego.com/cgi/entity_page.cgi?term=100&amp;id=-1792607332","SPBC24")</f>
        <v>SPBC24</v>
      </c>
      <c r="D719" s="19" t="str">
        <f>HYPERLINK("https://portal.genego.com/cgi/entity_page.cgi?term=20&amp;id=147841","SPC24")</f>
        <v>SPC24</v>
      </c>
      <c r="E719" s="14">
        <v>-0.39402361072574199</v>
      </c>
      <c r="F719" s="17">
        <v>0.1180459</v>
      </c>
    </row>
    <row r="720" spans="1:6" ht="60" customHeight="1" x14ac:dyDescent="0.25">
      <c r="A720" s="27">
        <v>717</v>
      </c>
      <c r="B720" s="28" t="s">
        <v>742</v>
      </c>
      <c r="C720" s="19" t="str">
        <f>HYPERLINK("https://portal.genego.com/cgi/entity_page.cgi?term=100&amp;id=-717925170","SPBC25")</f>
        <v>SPBC25</v>
      </c>
      <c r="D720" s="19" t="str">
        <f>HYPERLINK("https://portal.genego.com/cgi/entity_page.cgi?term=20&amp;id=1440672935","SPC25")</f>
        <v>SPC25</v>
      </c>
      <c r="E720" s="13">
        <v>-0.52257997931732003</v>
      </c>
      <c r="F720" s="17">
        <v>1.116748E-2</v>
      </c>
    </row>
    <row r="721" spans="1:6" ht="60" customHeight="1" x14ac:dyDescent="0.25">
      <c r="A721" s="27">
        <v>718</v>
      </c>
      <c r="B721" s="28" t="s">
        <v>743</v>
      </c>
      <c r="C721" s="19" t="str">
        <f>HYPERLINK("https://portal.genego.com/cgi/entity_page.cgi?term=100&amp;id=-987655914","SPOP")</f>
        <v>SPOP</v>
      </c>
      <c r="D721" s="19" t="str">
        <f>HYPERLINK("https://portal.genego.com/cgi/entity_page.cgi?term=20&amp;id=1464276427","SPOP")</f>
        <v>SPOP</v>
      </c>
      <c r="E721" s="16">
        <v>-2.15714628637746E-2</v>
      </c>
      <c r="F721" s="17">
        <v>0.91422720000000002</v>
      </c>
    </row>
    <row r="722" spans="1:6" ht="60" customHeight="1" x14ac:dyDescent="0.25">
      <c r="A722" s="27">
        <v>719</v>
      </c>
      <c r="B722" s="28" t="s">
        <v>744</v>
      </c>
      <c r="C722" s="19" t="str">
        <f>HYPERLINK("https://portal.genego.com/cgi/entity_page.cgi?term=100&amp;id=-1298152946","SREBP2 (nuclear)")</f>
        <v>SREBP2 (nuclear)</v>
      </c>
      <c r="D722" s="19" t="str">
        <f>HYPERLINK("https://portal.genego.com/cgi/entity_page.cgi?term=20&amp;id=-852350371","SREBF2")</f>
        <v>SREBF2</v>
      </c>
      <c r="E722" s="15">
        <v>-0.103808754490944</v>
      </c>
      <c r="F722" s="17">
        <v>0.53443759999999996</v>
      </c>
    </row>
    <row r="723" spans="1:6" ht="60" customHeight="1" x14ac:dyDescent="0.25">
      <c r="A723" s="27">
        <v>720</v>
      </c>
      <c r="B723" s="28" t="s">
        <v>745</v>
      </c>
      <c r="C723" s="19" t="str">
        <f>HYPERLINK("https://portal.genego.com/cgi/entity_page.cgi?term=100&amp;id=719","SRF")</f>
        <v>SRF</v>
      </c>
      <c r="D723" s="19" t="str">
        <f>HYPERLINK("https://portal.genego.com/cgi/entity_page.cgi?term=20&amp;id=1162858272","SRF")</f>
        <v>SRF</v>
      </c>
      <c r="E723" s="16">
        <v>-2.3207207474748099E-2</v>
      </c>
      <c r="F723" s="17">
        <v>0.90734800000000004</v>
      </c>
    </row>
    <row r="724" spans="1:6" ht="60" customHeight="1" x14ac:dyDescent="0.25">
      <c r="A724" s="27">
        <v>721</v>
      </c>
      <c r="B724" s="28" t="s">
        <v>746</v>
      </c>
      <c r="C724" s="19" t="str">
        <f>HYPERLINK("https://portal.genego.com/cgi/entity_page.cgi?term=100&amp;id=-624838836","SSH1L")</f>
        <v>SSH1L</v>
      </c>
      <c r="D724" s="19" t="str">
        <f>HYPERLINK("https://portal.genego.com/cgi/entity_page.cgi?term=20&amp;id=-1615200223","SSH1")</f>
        <v>SSH1</v>
      </c>
      <c r="E724" s="8">
        <v>0.11541951204168099</v>
      </c>
      <c r="F724" s="17">
        <v>0.52989779999999997</v>
      </c>
    </row>
    <row r="725" spans="1:6" ht="60" customHeight="1" x14ac:dyDescent="0.25">
      <c r="A725" s="27">
        <v>722</v>
      </c>
      <c r="B725" s="28" t="s">
        <v>747</v>
      </c>
      <c r="C725" s="19" t="str">
        <f>HYPERLINK("https://portal.genego.com/cgi/entity_page.cgi?term=100&amp;id=-1603477129","STAM1")</f>
        <v>STAM1</v>
      </c>
      <c r="D725" s="19" t="str">
        <f>HYPERLINK("https://portal.genego.com/cgi/entity_page.cgi?term=20&amp;id=1932700424","STAM")</f>
        <v>STAM</v>
      </c>
      <c r="E725" s="8">
        <v>6.94621587155686E-2</v>
      </c>
      <c r="F725" s="17">
        <v>0.69254349999999998</v>
      </c>
    </row>
    <row r="726" spans="1:6" ht="60" customHeight="1" x14ac:dyDescent="0.25">
      <c r="A726" s="27">
        <v>723</v>
      </c>
      <c r="B726" s="28" t="s">
        <v>748</v>
      </c>
      <c r="C726" s="19" t="str">
        <f>HYPERLINK("https://portal.genego.com/cgi/entity_page.cgi?term=100&amp;id=721","STAT1")</f>
        <v>STAT1</v>
      </c>
      <c r="D726" s="19" t="str">
        <f>HYPERLINK("https://portal.genego.com/cgi/entity_page.cgi?term=20&amp;id=524812130","STAT1")</f>
        <v>STAT1</v>
      </c>
      <c r="E726" s="5">
        <v>0.59580443512260295</v>
      </c>
      <c r="F726" s="17">
        <v>2.5933299999999999E-4</v>
      </c>
    </row>
    <row r="727" spans="1:6" ht="60" customHeight="1" x14ac:dyDescent="0.25">
      <c r="A727" s="27">
        <v>724</v>
      </c>
      <c r="B727" s="28" t="s">
        <v>749</v>
      </c>
      <c r="C727" s="19" t="str">
        <f>HYPERLINK("https://portal.genego.com/cgi/entity_page.cgi?term=100&amp;id=2476","STAT2")</f>
        <v>STAT2</v>
      </c>
      <c r="D727" s="19" t="str">
        <f>HYPERLINK("https://portal.genego.com/cgi/entity_page.cgi?term=20&amp;id=-1581993593","STAT2")</f>
        <v>STAT2</v>
      </c>
      <c r="E727" s="16">
        <v>-5.90920326746893E-2</v>
      </c>
      <c r="F727" s="17">
        <v>0.72539350000000002</v>
      </c>
    </row>
    <row r="728" spans="1:6" ht="60" customHeight="1" x14ac:dyDescent="0.25">
      <c r="A728" s="27">
        <v>725</v>
      </c>
      <c r="B728" s="28" t="s">
        <v>750</v>
      </c>
      <c r="C728" s="19" t="str">
        <f>HYPERLINK("https://portal.genego.com/cgi/entity_page.cgi?term=100&amp;id=722","STAT3")</f>
        <v>STAT3</v>
      </c>
      <c r="D728" s="19" t="str">
        <f>HYPERLINK("https://portal.genego.com/cgi/entity_page.cgi?term=20&amp;id=596206521","STAT3")</f>
        <v>STAT3</v>
      </c>
      <c r="E728" s="7">
        <v>0.26746301071856599</v>
      </c>
      <c r="F728" s="17">
        <v>7.0634929999999999E-2</v>
      </c>
    </row>
    <row r="729" spans="1:6" ht="60" customHeight="1" x14ac:dyDescent="0.25">
      <c r="A729" s="27">
        <v>726</v>
      </c>
      <c r="B729" s="28" t="s">
        <v>751</v>
      </c>
      <c r="C729" s="19" t="str">
        <f>HYPERLINK("https://portal.genego.com/cgi/entity_page.cgi?term=100&amp;id=4267","STAT6")</f>
        <v>STAT6</v>
      </c>
      <c r="D729" s="19" t="str">
        <f>HYPERLINK("https://portal.genego.com/cgi/entity_page.cgi?term=20&amp;id=2128498229","STAT6")</f>
        <v>STAT6</v>
      </c>
      <c r="E729" s="14">
        <v>-0.33015068712287798</v>
      </c>
      <c r="F729" s="17">
        <v>2.095091E-2</v>
      </c>
    </row>
    <row r="730" spans="1:6" ht="60" customHeight="1" x14ac:dyDescent="0.25">
      <c r="A730" s="27">
        <v>727</v>
      </c>
      <c r="B730" s="28" t="s">
        <v>752</v>
      </c>
      <c r="C730" s="19" t="str">
        <f>HYPERLINK("https://portal.genego.com/cgi/entity_page.cgi?term=100&amp;id=-193410909","STK3")</f>
        <v>STK3</v>
      </c>
      <c r="D730" s="19" t="str">
        <f>HYPERLINK("https://portal.genego.com/cgi/entity_page.cgi?term=20&amp;id=1192039251","STK3")</f>
        <v>STK3</v>
      </c>
      <c r="E730" s="8">
        <v>1.7114652029533099E-2</v>
      </c>
      <c r="F730" s="17">
        <v>0.93633719999999998</v>
      </c>
    </row>
    <row r="731" spans="1:6" ht="60" customHeight="1" x14ac:dyDescent="0.25">
      <c r="A731" s="27">
        <v>728</v>
      </c>
      <c r="B731" s="28" t="s">
        <v>753</v>
      </c>
      <c r="C731" s="19" t="str">
        <f>HYPERLINK("https://portal.genego.com/cgi/entity_page.cgi?term=100&amp;id=-1405037003","STK36")</f>
        <v>STK36</v>
      </c>
      <c r="D731" s="19" t="str">
        <f>HYPERLINK("https://portal.genego.com/cgi/entity_page.cgi?term=20&amp;id=590308917","STK36")</f>
        <v>STK36</v>
      </c>
      <c r="E731" s="15">
        <v>-0.17503419258158101</v>
      </c>
      <c r="F731" s="17">
        <v>0.29196519999999998</v>
      </c>
    </row>
    <row r="732" spans="1:6" ht="60" customHeight="1" x14ac:dyDescent="0.25">
      <c r="A732" s="27">
        <v>729</v>
      </c>
      <c r="B732" s="28" t="s">
        <v>754</v>
      </c>
      <c r="C732" s="19" t="str">
        <f>HYPERLINK("https://portal.genego.com/cgi/entity_page.cgi?term=100&amp;id=-503205438","STK4")</f>
        <v>STK4</v>
      </c>
      <c r="D732" s="19" t="str">
        <f>HYPERLINK("https://portal.genego.com/cgi/entity_page.cgi?term=20&amp;id=324510344","STK4")</f>
        <v>STK4</v>
      </c>
      <c r="E732" s="7">
        <v>0.13943473475186199</v>
      </c>
      <c r="F732" s="17">
        <v>0.4207109</v>
      </c>
    </row>
    <row r="733" spans="1:6" ht="60" customHeight="1" x14ac:dyDescent="0.25">
      <c r="A733" s="27">
        <v>730</v>
      </c>
      <c r="B733" s="28" t="s">
        <v>755</v>
      </c>
      <c r="C733" s="19" t="str">
        <f>HYPERLINK("https://portal.genego.com/cgi/entity_page.cgi?term=100&amp;id=725","SUFU")</f>
        <v>SUFU</v>
      </c>
      <c r="D733" s="19" t="str">
        <f>HYPERLINK("https://portal.genego.com/cgi/entity_page.cgi?term=20&amp;id=-159953349","SUFU")</f>
        <v>SUFU</v>
      </c>
      <c r="E733" s="8">
        <v>2.7380493287121801E-2</v>
      </c>
      <c r="F733" s="17">
        <v>0.89030739999999997</v>
      </c>
    </row>
    <row r="734" spans="1:6" ht="60" customHeight="1" x14ac:dyDescent="0.25">
      <c r="A734" s="27">
        <v>731</v>
      </c>
      <c r="B734" s="28" t="s">
        <v>756</v>
      </c>
      <c r="C734" s="19" t="str">
        <f>HYPERLINK("https://portal.genego.com/cgi/entity_page.cgi?term=100&amp;id=2648","Schwannomin (NF2)")</f>
        <v>Schwannomin (NF2)</v>
      </c>
      <c r="D734" s="19" t="str">
        <f>HYPERLINK("https://portal.genego.com/cgi/entity_page.cgi?term=20&amp;id=-1536606767","NF2")</f>
        <v>NF2</v>
      </c>
      <c r="E734" s="6">
        <v>0.34934617928089501</v>
      </c>
      <c r="F734" s="17">
        <v>5.4484149999999999E-3</v>
      </c>
    </row>
    <row r="735" spans="1:6" ht="60" customHeight="1" x14ac:dyDescent="0.25">
      <c r="A735" s="27">
        <v>732</v>
      </c>
      <c r="B735" s="28" t="s">
        <v>757</v>
      </c>
      <c r="C735" s="19" t="str">
        <f>HYPERLINK("https://portal.genego.com/cgi/entity_page.cgi?term=100&amp;id=989","Securin")</f>
        <v>Securin</v>
      </c>
      <c r="D735" s="19" t="str">
        <f>HYPERLINK("https://portal.genego.com/cgi/entity_page.cgi?term=20&amp;id=1223872473","PTTG1")</f>
        <v>PTTG1</v>
      </c>
      <c r="E735" s="10">
        <v>-1.0307868156843101</v>
      </c>
      <c r="F735" s="17">
        <v>2.5742579999999999E-8</v>
      </c>
    </row>
    <row r="736" spans="1:6" ht="60" customHeight="1" x14ac:dyDescent="0.25">
      <c r="A736" s="27">
        <v>733</v>
      </c>
      <c r="B736" s="28" t="s">
        <v>758</v>
      </c>
      <c r="C736" s="19" t="str">
        <f>HYPERLINK("https://portal.genego.com/cgi/entity_page.cgi?term=100&amp;id=-222131817","Semaphorin 7A")</f>
        <v>Semaphorin 7A</v>
      </c>
      <c r="D736" s="19" t="str">
        <f>HYPERLINK("https://portal.genego.com/cgi/entity_page.cgi?term=20&amp;id=-1884637931","SEMA7A")</f>
        <v>SEMA7A</v>
      </c>
      <c r="E736" s="5">
        <v>0.58114698553545696</v>
      </c>
      <c r="F736" s="17">
        <v>1.551403E-6</v>
      </c>
    </row>
    <row r="737" spans="1:6" ht="60" customHeight="1" x14ac:dyDescent="0.25">
      <c r="A737" s="27">
        <v>734</v>
      </c>
      <c r="B737" s="28" t="s">
        <v>759</v>
      </c>
      <c r="C737" s="19" t="str">
        <f>HYPERLINK("https://portal.genego.com/cgi/entity_page.cgi?term=100&amp;id=-1710303399","Separase")</f>
        <v>Separase</v>
      </c>
      <c r="D737" s="19" t="str">
        <f>HYPERLINK("https://portal.genego.com/cgi/entity_page.cgi?term=20&amp;id=-323467303","ESPL1")</f>
        <v>ESPL1</v>
      </c>
      <c r="E737" s="15">
        <v>-0.235546266094282</v>
      </c>
      <c r="F737" s="17">
        <v>0.22364490000000001</v>
      </c>
    </row>
    <row r="738" spans="1:6" ht="60" customHeight="1" x14ac:dyDescent="0.25">
      <c r="A738" s="27">
        <v>735</v>
      </c>
      <c r="B738" s="28" t="s">
        <v>760</v>
      </c>
      <c r="C738" s="19" t="str">
        <f>HYPERLINK("https://portal.genego.com/cgi/entity_page.cgi?term=100&amp;id=2093","Shc")</f>
        <v>Shc</v>
      </c>
      <c r="D738" s="19" t="str">
        <f>HYPERLINK("https://portal.genego.com/cgi/entity_page.cgi?term=20&amp;id=-103322375","SHC1")</f>
        <v>SHC1</v>
      </c>
      <c r="E738" s="16">
        <v>-4.9701468569888302E-2</v>
      </c>
      <c r="F738" s="17">
        <v>0.77932349999999995</v>
      </c>
    </row>
    <row r="739" spans="1:6" ht="60" customHeight="1" x14ac:dyDescent="0.25">
      <c r="A739" s="27">
        <v>736</v>
      </c>
      <c r="B739" s="28" t="s">
        <v>761</v>
      </c>
      <c r="C739" s="19" t="str">
        <f>HYPERLINK("https://portal.genego.com/cgi/entity_page.cgi?term=100&amp;id=-848077820","Sin3A")</f>
        <v>Sin3A</v>
      </c>
      <c r="D739" s="19" t="str">
        <f>HYPERLINK("https://portal.genego.com/cgi/entity_page.cgi?term=20&amp;id=25942","SIN3A")</f>
        <v>SIN3A</v>
      </c>
      <c r="E739" s="16">
        <v>-5.9328607851728901E-2</v>
      </c>
      <c r="F739" s="17">
        <v>0.73928400000000005</v>
      </c>
    </row>
    <row r="740" spans="1:6" ht="60" customHeight="1" x14ac:dyDescent="0.25">
      <c r="A740" s="27">
        <v>737</v>
      </c>
      <c r="B740" s="28" t="s">
        <v>762</v>
      </c>
      <c r="C740" s="19" t="str">
        <f>HYPERLINK("https://portal.genego.com/cgi/entity_page.cgi?term=100&amp;id=-1823813595","Sirtuin1")</f>
        <v>Sirtuin1</v>
      </c>
      <c r="D740" s="19" t="str">
        <f>HYPERLINK("https://portal.genego.com/cgi/entity_page.cgi?term=20&amp;id=-848968749","SIRT1")</f>
        <v>SIRT1</v>
      </c>
      <c r="E740" s="8">
        <v>4.6705990750559104E-3</v>
      </c>
      <c r="F740" s="17">
        <v>0.98308569999999995</v>
      </c>
    </row>
    <row r="741" spans="1:6" ht="60" customHeight="1" x14ac:dyDescent="0.25">
      <c r="A741" s="27">
        <v>738</v>
      </c>
      <c r="B741" s="28" t="s">
        <v>763</v>
      </c>
      <c r="C741" s="19" t="str">
        <f>HYPERLINK("https://portal.genego.com/cgi/entity_page.cgi?term=100&amp;id=707","Smoothened")</f>
        <v>Smoothened</v>
      </c>
      <c r="D741" s="19" t="str">
        <f>HYPERLINK("https://portal.genego.com/cgi/entity_page.cgi?term=20&amp;id=-1062562455","SMO")</f>
        <v>SMO</v>
      </c>
      <c r="E741" s="14">
        <v>-0.32188142933907399</v>
      </c>
      <c r="F741" s="17">
        <v>7.2647009999999998E-2</v>
      </c>
    </row>
    <row r="742" spans="1:6" ht="60" customHeight="1" x14ac:dyDescent="0.25">
      <c r="A742" s="27">
        <v>739</v>
      </c>
      <c r="B742" s="28" t="s">
        <v>764</v>
      </c>
      <c r="C742" s="19" t="str">
        <f>HYPERLINK("https://portal.genego.com/cgi/entity_page.cgi?term=100&amp;id=-55602614","Sp8")</f>
        <v>Sp8</v>
      </c>
      <c r="D742" s="19" t="str">
        <f>HYPERLINK("https://portal.genego.com/cgi/entity_page.cgi?term=20&amp;id=221833","SP8")</f>
        <v>SP8</v>
      </c>
      <c r="E742" s="16">
        <v>-4.38742405988541E-3</v>
      </c>
      <c r="F742" s="17">
        <v>1</v>
      </c>
    </row>
    <row r="743" spans="1:6" ht="60" customHeight="1" x14ac:dyDescent="0.25">
      <c r="A743" s="27">
        <v>740</v>
      </c>
      <c r="B743" s="28" t="s">
        <v>765</v>
      </c>
      <c r="C743" s="19" t="str">
        <f>HYPERLINK("https://portal.genego.com/cgi/entity_page.cgi?term=100&amp;id=-1870236399","Staufen")</f>
        <v>Staufen</v>
      </c>
      <c r="D743" s="19" t="str">
        <f>HYPERLINK("https://portal.genego.com/cgi/entity_page.cgi?term=20&amp;id=721465944","STAU1")</f>
        <v>STAU1</v>
      </c>
      <c r="E743" s="8">
        <v>1.41103421257256E-2</v>
      </c>
      <c r="F743" s="17">
        <v>0.94198170000000003</v>
      </c>
    </row>
    <row r="744" spans="1:6" ht="60" customHeight="1" x14ac:dyDescent="0.25">
      <c r="A744" s="27">
        <v>741</v>
      </c>
      <c r="B744" s="28" t="s">
        <v>766</v>
      </c>
      <c r="C744" s="19" t="str">
        <f>HYPERLINK("https://portal.genego.com/cgi/entity_page.cgi?term=100&amp;id=1142","Survivin")</f>
        <v>Survivin</v>
      </c>
      <c r="D744" s="19" t="str">
        <f>HYPERLINK("https://portal.genego.com/cgi/entity_page.cgi?term=20&amp;id=-376378123","BIRC5")</f>
        <v>BIRC5</v>
      </c>
      <c r="E744" s="9">
        <v>-1.2050300369751299</v>
      </c>
      <c r="F744" s="17">
        <v>8.3412710000000001E-17</v>
      </c>
    </row>
    <row r="745" spans="1:6" ht="60" customHeight="1" x14ac:dyDescent="0.25">
      <c r="A745" s="27">
        <v>742</v>
      </c>
      <c r="B745" s="28" t="s">
        <v>767</v>
      </c>
      <c r="C745" s="19" t="str">
        <f>HYPERLINK("https://portal.genego.com/cgi/entity_page.cgi?term=100&amp;id=742","Syk")</f>
        <v>Syk</v>
      </c>
      <c r="D745" s="19" t="str">
        <f>HYPERLINK("https://portal.genego.com/cgi/entity_page.cgi?term=20&amp;id=-582275230","SYK")</f>
        <v>SYK</v>
      </c>
      <c r="E745" s="8">
        <v>8.7235260055376403E-3</v>
      </c>
      <c r="F745" s="17">
        <v>1</v>
      </c>
    </row>
    <row r="746" spans="1:6" ht="60" customHeight="1" x14ac:dyDescent="0.25">
      <c r="A746" s="27">
        <v>743</v>
      </c>
      <c r="B746" s="28" t="s">
        <v>768</v>
      </c>
      <c r="C746" s="19" t="str">
        <f>HYPERLINK("https://portal.genego.com/cgi/entity_page.cgi?term=100&amp;id=747","TAK1(MAP3K7)")</f>
        <v>TAK1(MAP3K7)</v>
      </c>
      <c r="D746" s="19" t="str">
        <f>HYPERLINK("https://portal.genego.com/cgi/entity_page.cgi?term=20&amp;id=-770094275","MAP3K7")</f>
        <v>MAP3K7</v>
      </c>
      <c r="E746" s="8">
        <v>0.103810154679372</v>
      </c>
      <c r="F746" s="17">
        <v>0.56375399999999998</v>
      </c>
    </row>
    <row r="747" spans="1:6" ht="60" customHeight="1" x14ac:dyDescent="0.25">
      <c r="A747" s="27">
        <v>744</v>
      </c>
      <c r="B747" s="28" t="s">
        <v>769</v>
      </c>
      <c r="C747" s="19" t="str">
        <f>HYPERLINK("https://portal.genego.com/cgi/entity_page.cgi?term=100&amp;id=-347574514","TAO2")</f>
        <v>TAO2</v>
      </c>
      <c r="D747" s="19" t="str">
        <f>HYPERLINK("https://portal.genego.com/cgi/entity_page.cgi?term=20&amp;id=9344","TAOK2")</f>
        <v>TAOK2</v>
      </c>
      <c r="E747" s="7">
        <v>0.28150744857051402</v>
      </c>
      <c r="F747" s="17">
        <v>6.8703210000000001E-2</v>
      </c>
    </row>
    <row r="748" spans="1:6" ht="60" customHeight="1" x14ac:dyDescent="0.25">
      <c r="A748" s="27">
        <v>745</v>
      </c>
      <c r="B748" s="28" t="s">
        <v>770</v>
      </c>
      <c r="C748" s="19" t="str">
        <f>HYPERLINK("https://portal.genego.com/cgi/entity_page.cgi?term=100&amp;id=-1959572679","TARBP2")</f>
        <v>TARBP2</v>
      </c>
      <c r="D748" s="19" t="str">
        <f>HYPERLINK("https://portal.genego.com/cgi/entity_page.cgi?term=20&amp;id=-1042147882","TARBP2")</f>
        <v>TARBP2</v>
      </c>
      <c r="E748" s="15">
        <v>-0.15086013837631099</v>
      </c>
      <c r="F748" s="17">
        <v>0.40472469999999999</v>
      </c>
    </row>
    <row r="749" spans="1:6" ht="60" customHeight="1" x14ac:dyDescent="0.25">
      <c r="A749" s="27">
        <v>746</v>
      </c>
      <c r="B749" s="28" t="s">
        <v>771</v>
      </c>
      <c r="C749" s="19" t="str">
        <f>HYPERLINK("https://portal.genego.com/cgi/entity_page.cgi?term=100&amp;id=-1547669052","TAZ")</f>
        <v>TAZ</v>
      </c>
      <c r="D749" s="19" t="str">
        <f>HYPERLINK("https://portal.genego.com/cgi/entity_page.cgi?term=20&amp;id=-1247320648","WWTR1")</f>
        <v>WWTR1</v>
      </c>
      <c r="E749" s="7">
        <v>0.173509576070602</v>
      </c>
      <c r="F749" s="17">
        <v>0.327957</v>
      </c>
    </row>
    <row r="750" spans="1:6" ht="60" customHeight="1" x14ac:dyDescent="0.25">
      <c r="A750" s="27">
        <v>747</v>
      </c>
      <c r="B750" s="28" t="s">
        <v>772</v>
      </c>
      <c r="C750" s="19" t="str">
        <f>HYPERLINK("https://portal.genego.com/cgi/entity_page.cgi?term=100&amp;id=-1777698674","TBCD4")</f>
        <v>TBCD4</v>
      </c>
      <c r="D750" s="19" t="str">
        <f>HYPERLINK("https://portal.genego.com/cgi/entity_page.cgi?term=20&amp;id=9882","TBC1D4")</f>
        <v>TBC1D4</v>
      </c>
      <c r="E750" s="5">
        <v>0.77864019661695905</v>
      </c>
      <c r="F750" s="17">
        <v>3.641335E-4</v>
      </c>
    </row>
    <row r="751" spans="1:6" ht="60" customHeight="1" x14ac:dyDescent="0.25">
      <c r="A751" s="27">
        <v>748</v>
      </c>
      <c r="B751" s="28" t="s">
        <v>773</v>
      </c>
      <c r="C751" s="19" t="str">
        <f>HYPERLINK("https://portal.genego.com/cgi/entity_page.cgi?term=100&amp;id=2212","TBX5")</f>
        <v>TBX5</v>
      </c>
      <c r="D751" s="19" t="str">
        <f>HYPERLINK("https://portal.genego.com/cgi/entity_page.cgi?term=20&amp;id=-1135289856","TBX5")</f>
        <v>TBX5</v>
      </c>
      <c r="E751" s="8">
        <v>3.9480565187403104E-3</v>
      </c>
      <c r="F751" s="17">
        <v>1</v>
      </c>
    </row>
    <row r="752" spans="1:6" ht="60" customHeight="1" x14ac:dyDescent="0.25">
      <c r="A752" s="27">
        <v>749</v>
      </c>
      <c r="B752" s="28" t="s">
        <v>774</v>
      </c>
      <c r="C752" s="19" t="str">
        <f>HYPERLINK("https://portal.genego.com/cgi/entity_page.cgi?term=100&amp;id=2450","TBXA2R")</f>
        <v>TBXA2R</v>
      </c>
      <c r="D752" s="19" t="str">
        <f>HYPERLINK("https://portal.genego.com/cgi/entity_page.cgi?term=20&amp;id=-1283718764","TBXA2R")</f>
        <v>TBXA2R</v>
      </c>
      <c r="E752" s="8">
        <v>3.6108889649877698E-2</v>
      </c>
      <c r="F752" s="17">
        <v>0.83785410000000005</v>
      </c>
    </row>
    <row r="753" spans="1:6" ht="60" customHeight="1" x14ac:dyDescent="0.25">
      <c r="A753" s="27">
        <v>750</v>
      </c>
      <c r="B753" s="28" t="s">
        <v>775</v>
      </c>
      <c r="C753" s="19" t="str">
        <f>HYPERLINK("https://portal.genego.com/cgi/entity_page.cgi?term=100&amp;id=4440","TCF7 (TCF1)")</f>
        <v>TCF7 (TCF1)</v>
      </c>
      <c r="D753" s="19" t="str">
        <f>HYPERLINK("https://portal.genego.com/cgi/entity_page.cgi?term=20&amp;id=-809044340","TCF7")</f>
        <v>TCF7</v>
      </c>
      <c r="E753" s="16">
        <v>-3.8218076681747398E-2</v>
      </c>
      <c r="F753" s="17">
        <v>0.84693339999999995</v>
      </c>
    </row>
    <row r="754" spans="1:6" ht="60" customHeight="1" x14ac:dyDescent="0.25">
      <c r="A754" s="27">
        <v>751</v>
      </c>
      <c r="B754" s="28" t="s">
        <v>776</v>
      </c>
      <c r="C754" s="19" t="str">
        <f>HYPERLINK("https://portal.genego.com/cgi/entity_page.cgi?term=100&amp;id=-1545880960","TCF7L1 (TCF3)")</f>
        <v>TCF7L1 (TCF3)</v>
      </c>
      <c r="D754" s="19" t="str">
        <f>HYPERLINK("https://portal.genego.com/cgi/entity_page.cgi?term=20&amp;id=-853199798","TCF7L1")</f>
        <v>TCF7L1</v>
      </c>
      <c r="E754" s="12">
        <v>-0.72963699930890302</v>
      </c>
      <c r="F754" s="17">
        <v>5.922206E-2</v>
      </c>
    </row>
    <row r="755" spans="1:6" ht="60" customHeight="1" x14ac:dyDescent="0.25">
      <c r="A755" s="27">
        <v>752</v>
      </c>
      <c r="B755" s="28" t="s">
        <v>777</v>
      </c>
      <c r="C755" s="19" t="str">
        <f>HYPERLINK("https://portal.genego.com/cgi/entity_page.cgi?term=100&amp;id=4374","TCF7L2 (TCF4)")</f>
        <v>TCF7L2 (TCF4)</v>
      </c>
      <c r="D755" s="19" t="str">
        <f>HYPERLINK("https://portal.genego.com/cgi/entity_page.cgi?term=20&amp;id=1781280474","TCF7L2")</f>
        <v>TCF7L2</v>
      </c>
      <c r="E755" s="15">
        <v>-0.113664726121208</v>
      </c>
      <c r="F755" s="17">
        <v>0.55944360000000004</v>
      </c>
    </row>
    <row r="756" spans="1:6" ht="60" customHeight="1" x14ac:dyDescent="0.25">
      <c r="A756" s="27">
        <v>753</v>
      </c>
      <c r="B756" s="28" t="s">
        <v>778</v>
      </c>
      <c r="C756" s="19" t="str">
        <f>HYPERLINK("https://portal.genego.com/cgi/entity_page.cgi?term=100&amp;id=2645","TEC")</f>
        <v>TEC</v>
      </c>
      <c r="D756" s="19" t="str">
        <f>HYPERLINK("https://portal.genego.com/cgi/entity_page.cgi?term=20&amp;id=-547486767","TEC")</f>
        <v>TEC</v>
      </c>
      <c r="E756" s="16">
        <v>-3.6759636384298897E-2</v>
      </c>
      <c r="F756" s="17">
        <v>0.7761072</v>
      </c>
    </row>
    <row r="757" spans="1:6" ht="60" customHeight="1" x14ac:dyDescent="0.25">
      <c r="A757" s="27">
        <v>754</v>
      </c>
      <c r="B757" s="28" t="s">
        <v>779</v>
      </c>
      <c r="C757" s="19" t="str">
        <f>HYPERLINK("https://portal.genego.com/cgi/entity_page.cgi?term=100&amp;id=4384","TEF-1")</f>
        <v>TEF-1</v>
      </c>
      <c r="D757" s="19" t="str">
        <f>HYPERLINK("https://portal.genego.com/cgi/entity_page.cgi?term=20&amp;id=-318904464","TEAD1")</f>
        <v>TEAD1</v>
      </c>
      <c r="E757" s="7">
        <v>0.13321411092184299</v>
      </c>
      <c r="F757" s="17">
        <v>0.46317619999999998</v>
      </c>
    </row>
    <row r="758" spans="1:6" ht="60" customHeight="1" x14ac:dyDescent="0.25">
      <c r="A758" s="27">
        <v>755</v>
      </c>
      <c r="B758" s="28" t="s">
        <v>780</v>
      </c>
      <c r="C758" s="19" t="str">
        <f>HYPERLINK("https://portal.genego.com/cgi/entity_page.cgi?term=100&amp;id=-167905360","TEF-3")</f>
        <v>TEF-3</v>
      </c>
      <c r="D758" s="19" t="str">
        <f>HYPERLINK("https://portal.genego.com/cgi/entity_page.cgi?term=20&amp;id=1825579960","TEAD4")</f>
        <v>TEAD4</v>
      </c>
      <c r="E758" s="15">
        <v>-0.25250862206404501</v>
      </c>
      <c r="F758" s="17">
        <v>0.19207360000000001</v>
      </c>
    </row>
    <row r="759" spans="1:6" ht="60" customHeight="1" x14ac:dyDescent="0.25">
      <c r="A759" s="27">
        <v>756</v>
      </c>
      <c r="B759" s="28" t="s">
        <v>781</v>
      </c>
      <c r="C759" s="19" t="str">
        <f>HYPERLINK("https://portal.genego.com/cgi/entity_page.cgi?term=100&amp;id=-668554003","TEF-4")</f>
        <v>TEF-4</v>
      </c>
      <c r="D759" s="19" t="str">
        <f>HYPERLINK("https://portal.genego.com/cgi/entity_page.cgi?term=20&amp;id=1562760954","TEAD2")</f>
        <v>TEAD2</v>
      </c>
      <c r="E759" s="13">
        <v>-0.56866253634589703</v>
      </c>
      <c r="F759" s="17">
        <v>2.461001E-3</v>
      </c>
    </row>
    <row r="760" spans="1:6" ht="60" customHeight="1" x14ac:dyDescent="0.25">
      <c r="A760" s="27">
        <v>757</v>
      </c>
      <c r="B760" s="28" t="s">
        <v>782</v>
      </c>
      <c r="C760" s="19" t="str">
        <f>HYPERLINK("https://portal.genego.com/cgi/entity_page.cgi?term=100&amp;id=4304","TEF-5")</f>
        <v>TEF-5</v>
      </c>
      <c r="D760" s="19" t="str">
        <f>HYPERLINK("https://portal.genego.com/cgi/entity_page.cgi?term=20&amp;id=-17379","TEAD3")</f>
        <v>TEAD3</v>
      </c>
      <c r="E760" s="16">
        <v>-2.4330565361824701E-2</v>
      </c>
      <c r="F760" s="17">
        <v>0.90518580000000004</v>
      </c>
    </row>
    <row r="761" spans="1:6" ht="60" customHeight="1" x14ac:dyDescent="0.25">
      <c r="A761" s="27">
        <v>758</v>
      </c>
      <c r="B761" s="28" t="s">
        <v>783</v>
      </c>
      <c r="C761" s="19" t="str">
        <f>HYPERLINK("https://portal.genego.com/cgi/entity_page.cgi?term=100&amp;id=-1488876271","TEM7")</f>
        <v>TEM7</v>
      </c>
      <c r="D761" s="19" t="str">
        <f>HYPERLINK("https://portal.genego.com/cgi/entity_page.cgi?term=20&amp;id=-510806897","PLXDC1")</f>
        <v>PLXDC1</v>
      </c>
      <c r="E761" s="16">
        <v>-6.1664484790018598E-2</v>
      </c>
      <c r="F761" s="17">
        <v>1</v>
      </c>
    </row>
    <row r="762" spans="1:6" ht="60" customHeight="1" x14ac:dyDescent="0.25">
      <c r="A762" s="27">
        <v>759</v>
      </c>
      <c r="B762" s="28" t="s">
        <v>784</v>
      </c>
      <c r="C762" s="19" t="str">
        <f>HYPERLINK("https://portal.genego.com/cgi/entity_page.cgi?term=100&amp;id=-560231439","TEP1")</f>
        <v>TEP1</v>
      </c>
      <c r="D762" s="19" t="str">
        <f>HYPERLINK("https://portal.genego.com/cgi/entity_page.cgi?term=20&amp;id=1171531578","TEP1")</f>
        <v>TEP1</v>
      </c>
      <c r="E762" s="7">
        <v>0.219552344988376</v>
      </c>
      <c r="F762" s="17">
        <v>0.2499991</v>
      </c>
    </row>
    <row r="763" spans="1:6" ht="60" customHeight="1" x14ac:dyDescent="0.25">
      <c r="A763" s="27">
        <v>760</v>
      </c>
      <c r="B763" s="28" t="s">
        <v>785</v>
      </c>
      <c r="C763" s="19" t="str">
        <f>HYPERLINK("https://portal.genego.com/cgi/entity_page.cgi?term=100&amp;id=1154","TERC")</f>
        <v>TERC</v>
      </c>
      <c r="D763" s="19" t="str">
        <f>HYPERLINK("https://portal.genego.com/cgi/entity_page.cgi?term=20&amp;id=-1642528875","TERC")</f>
        <v>TERC</v>
      </c>
      <c r="E763" s="16">
        <v>-3.72470262483365E-2</v>
      </c>
      <c r="F763" s="17">
        <v>1</v>
      </c>
    </row>
    <row r="764" spans="1:6" ht="60" customHeight="1" x14ac:dyDescent="0.25">
      <c r="A764" s="27">
        <v>761</v>
      </c>
      <c r="B764" s="28" t="s">
        <v>786</v>
      </c>
      <c r="C764" s="19" t="str">
        <f>HYPERLINK("https://portal.genego.com/cgi/entity_page.cgi?term=100&amp;id=2401","TERT")</f>
        <v>TERT</v>
      </c>
      <c r="D764" s="19" t="str">
        <f>HYPERLINK("https://portal.genego.com/cgi/entity_page.cgi?term=20&amp;id=18235261","TERT")</f>
        <v>TERT</v>
      </c>
      <c r="E764" s="8">
        <v>5.8534735738006001E-2</v>
      </c>
      <c r="F764" s="17">
        <v>0.72261909999999996</v>
      </c>
    </row>
    <row r="765" spans="1:6" ht="60" customHeight="1" x14ac:dyDescent="0.25">
      <c r="A765" s="27">
        <v>762</v>
      </c>
      <c r="B765" s="28" t="s">
        <v>787</v>
      </c>
      <c r="C765" s="19" t="str">
        <f>HYPERLINK("https://portal.genego.com/cgi/entity_page.cgi?term=100&amp;id=-2132317791","TFEB")</f>
        <v>TFEB</v>
      </c>
      <c r="D765" s="19" t="str">
        <f>HYPERLINK("https://portal.genego.com/cgi/entity_page.cgi?term=20&amp;id=2042172887","TFEB")</f>
        <v>TFEB</v>
      </c>
      <c r="E765" s="8">
        <v>3.3851927260077699E-2</v>
      </c>
      <c r="F765" s="17">
        <v>0.8551299</v>
      </c>
    </row>
    <row r="766" spans="1:6" ht="60" customHeight="1" x14ac:dyDescent="0.25">
      <c r="A766" s="27">
        <v>763</v>
      </c>
      <c r="B766" s="28" t="s">
        <v>788</v>
      </c>
      <c r="C766" s="19" t="str">
        <f>HYPERLINK("https://portal.genego.com/cgi/entity_page.cgi?term=100&amp;id=4159","TFII-I")</f>
        <v>TFII-I</v>
      </c>
      <c r="D766" s="19" t="str">
        <f>HYPERLINK("https://portal.genego.com/cgi/entity_page.cgi?term=20&amp;id=-1156386503","GTF2I")</f>
        <v>GTF2I</v>
      </c>
      <c r="E766" s="8">
        <v>1.8794066931597301E-3</v>
      </c>
      <c r="F766" s="17">
        <v>0.99208529999999995</v>
      </c>
    </row>
    <row r="767" spans="1:6" ht="60" customHeight="1" x14ac:dyDescent="0.25">
      <c r="A767" s="27">
        <v>764</v>
      </c>
      <c r="B767" s="28" t="s">
        <v>789</v>
      </c>
      <c r="C767" s="19" t="str">
        <f>HYPERLINK("https://portal.genego.com/cgi/entity_page.cgi?term=100&amp;id=756","TGF-beta 1")</f>
        <v>TGF-beta 1</v>
      </c>
      <c r="D767" s="19" t="str">
        <f>HYPERLINK("https://portal.genego.com/cgi/entity_page.cgi?term=20&amp;id=39888292","TGFB1")</f>
        <v>TGFB1</v>
      </c>
      <c r="E767" s="14">
        <v>-0.28770999606925501</v>
      </c>
      <c r="F767" s="17">
        <v>6.6641439999999996E-2</v>
      </c>
    </row>
    <row r="768" spans="1:6" ht="60" customHeight="1" x14ac:dyDescent="0.25">
      <c r="A768" s="27">
        <v>765</v>
      </c>
      <c r="B768" s="28" t="s">
        <v>790</v>
      </c>
      <c r="C768" s="19" t="str">
        <f>HYPERLINK("https://portal.genego.com/cgi/entity_page.cgi?term=100&amp;id=4567","TGF-beta 2")</f>
        <v>TGF-beta 2</v>
      </c>
      <c r="D768" s="19" t="str">
        <f>HYPERLINK("https://portal.genego.com/cgi/entity_page.cgi?term=20&amp;id=611839459","TGFB2")</f>
        <v>TGFB2</v>
      </c>
      <c r="E768" s="7">
        <v>0.27590521135448498</v>
      </c>
      <c r="F768" s="17">
        <v>0.1053931</v>
      </c>
    </row>
    <row r="769" spans="1:6" ht="60" customHeight="1" x14ac:dyDescent="0.25">
      <c r="A769" s="27">
        <v>766</v>
      </c>
      <c r="B769" s="28" t="s">
        <v>791</v>
      </c>
      <c r="C769" s="19" t="str">
        <f>HYPERLINK("https://portal.genego.com/cgi/entity_page.cgi?term=100&amp;id=-2099509019","TGF-beta receptor type I")</f>
        <v>TGF-beta receptor type I</v>
      </c>
      <c r="D769" s="19" t="str">
        <f>HYPERLINK("https://portal.genego.com/cgi/entity_page.cgi?term=20&amp;id=794705618","TGFBR1")</f>
        <v>TGFBR1</v>
      </c>
      <c r="E769" s="8">
        <v>7.8563218275335602E-3</v>
      </c>
      <c r="F769" s="17">
        <v>0.97003419999999996</v>
      </c>
    </row>
    <row r="770" spans="1:6" ht="60" customHeight="1" x14ac:dyDescent="0.25">
      <c r="A770" s="27">
        <v>767</v>
      </c>
      <c r="B770" s="28" t="s">
        <v>792</v>
      </c>
      <c r="C770" s="19" t="str">
        <f>HYPERLINK("https://portal.genego.com/cgi/entity_page.cgi?term=100&amp;id=757","TGF-beta receptor type II")</f>
        <v>TGF-beta receptor type II</v>
      </c>
      <c r="D770" s="19" t="str">
        <f>HYPERLINK("https://portal.genego.com/cgi/entity_page.cgi?term=20&amp;id=-269004523","TGFBR2")</f>
        <v>TGFBR2</v>
      </c>
      <c r="E770" s="7">
        <v>0.26616277331258997</v>
      </c>
      <c r="F770" s="17">
        <v>9.9952810000000003E-2</v>
      </c>
    </row>
    <row r="771" spans="1:6" ht="60" customHeight="1" x14ac:dyDescent="0.25">
      <c r="A771" s="27">
        <v>768</v>
      </c>
      <c r="B771" s="28" t="s">
        <v>793</v>
      </c>
      <c r="C771" s="19" t="str">
        <f>HYPERLINK("https://portal.genego.com/cgi/entity_page.cgi?term=100&amp;id=-912698744","TIN-2")</f>
        <v>TIN-2</v>
      </c>
      <c r="D771" s="19" t="str">
        <f>HYPERLINK("https://portal.genego.com/cgi/entity_page.cgi?term=20&amp;id=1212927374","TINF2")</f>
        <v>TINF2</v>
      </c>
      <c r="E771" s="16">
        <v>-8.09631563669444E-2</v>
      </c>
      <c r="F771" s="17">
        <v>0.65313220000000005</v>
      </c>
    </row>
    <row r="772" spans="1:6" ht="60" customHeight="1" x14ac:dyDescent="0.25">
      <c r="A772" s="27">
        <v>769</v>
      </c>
      <c r="B772" s="28" t="s">
        <v>794</v>
      </c>
      <c r="C772" s="19" t="str">
        <f>HYPERLINK("https://portal.genego.com/cgi/entity_page.cgi?term=100&amp;id=-544423621","TLR3")</f>
        <v>TLR3</v>
      </c>
      <c r="D772" s="19" t="str">
        <f>HYPERLINK("https://portal.genego.com/cgi/entity_page.cgi?term=20&amp;id=-741770793","TLR3")</f>
        <v>TLR3</v>
      </c>
      <c r="E772" s="16">
        <v>-5.1114354976713398E-2</v>
      </c>
      <c r="F772" s="17">
        <v>0.77715029999999996</v>
      </c>
    </row>
    <row r="773" spans="1:6" ht="60" customHeight="1" x14ac:dyDescent="0.25">
      <c r="A773" s="27">
        <v>770</v>
      </c>
      <c r="B773" s="28" t="s">
        <v>795</v>
      </c>
      <c r="C773" s="19" t="str">
        <f>HYPERLINK("https://portal.genego.com/cgi/entity_page.cgi?term=100&amp;id=6366","TLR4")</f>
        <v>TLR4</v>
      </c>
      <c r="D773" s="19" t="str">
        <f>HYPERLINK("https://portal.genego.com/cgi/entity_page.cgi?term=20&amp;id=444708587","TLR4")</f>
        <v>TLR4</v>
      </c>
      <c r="E773" s="7">
        <v>0.26775574139488201</v>
      </c>
      <c r="F773" s="17">
        <v>0.15580540000000001</v>
      </c>
    </row>
    <row r="774" spans="1:6" ht="60" customHeight="1" x14ac:dyDescent="0.25">
      <c r="A774" s="27">
        <v>771</v>
      </c>
      <c r="B774" s="28" t="s">
        <v>796</v>
      </c>
      <c r="C774" s="19" t="str">
        <f>HYPERLINK("https://portal.genego.com/cgi/entity_page.cgi?term=100&amp;id=765","TNF-R1")</f>
        <v>TNF-R1</v>
      </c>
      <c r="D774" s="19" t="str">
        <f>HYPERLINK("https://portal.genego.com/cgi/entity_page.cgi?term=20&amp;id=-1021333707","TNFRSF1A")</f>
        <v>TNFRSF1A</v>
      </c>
      <c r="E774" s="16">
        <v>-8.6986229786330402E-2</v>
      </c>
      <c r="F774" s="17">
        <v>0.59092549999999999</v>
      </c>
    </row>
    <row r="775" spans="1:6" ht="60" customHeight="1" x14ac:dyDescent="0.25">
      <c r="A775" s="27">
        <v>772</v>
      </c>
      <c r="B775" s="28" t="s">
        <v>797</v>
      </c>
      <c r="C775" s="19" t="str">
        <f>HYPERLINK("https://portal.genego.com/cgi/entity_page.cgi?term=100&amp;id=4487","TNF-alpha")</f>
        <v>TNF-alpha</v>
      </c>
      <c r="D775" s="19" t="str">
        <f>HYPERLINK("https://portal.genego.com/cgi/entity_page.cgi?term=20&amp;id=-1163959157","TNF")</f>
        <v>TNF</v>
      </c>
      <c r="E775" s="16">
        <v>-3.7598454415520798E-4</v>
      </c>
      <c r="F775" s="17">
        <v>1</v>
      </c>
    </row>
    <row r="776" spans="1:6" ht="60" customHeight="1" x14ac:dyDescent="0.25">
      <c r="A776" s="27">
        <v>773</v>
      </c>
      <c r="B776" s="28" t="s">
        <v>798</v>
      </c>
      <c r="C776" s="19" t="str">
        <f>HYPERLINK("https://portal.genego.com/cgi/entity_page.cgi?term=100&amp;id=4106","TOP1")</f>
        <v>TOP1</v>
      </c>
      <c r="D776" s="19" t="str">
        <f>HYPERLINK("https://portal.genego.com/cgi/entity_page.cgi?term=20&amp;id=-1798310046","TOP1")</f>
        <v>TOP1</v>
      </c>
      <c r="E776" s="8">
        <v>8.5575244094168806E-2</v>
      </c>
      <c r="F776" s="17">
        <v>0.62535969999999996</v>
      </c>
    </row>
    <row r="777" spans="1:6" ht="60" customHeight="1" x14ac:dyDescent="0.25">
      <c r="A777" s="27">
        <v>774</v>
      </c>
      <c r="B777" s="28" t="s">
        <v>799</v>
      </c>
      <c r="C777" s="19" t="str">
        <f>HYPERLINK("https://portal.genego.com/cgi/entity_page.cgi?term=100&amp;id=-800418262","TOP2 alpha")</f>
        <v>TOP2 alpha</v>
      </c>
      <c r="D777" s="19" t="str">
        <f>HYPERLINK("https://portal.genego.com/cgi/entity_page.cgi?term=20&amp;id=-119764884","TOP2A")</f>
        <v>TOP2A</v>
      </c>
      <c r="E777" s="15">
        <v>-0.25526596214731401</v>
      </c>
      <c r="F777" s="17">
        <v>0.18031820000000001</v>
      </c>
    </row>
    <row r="778" spans="1:6" ht="60" customHeight="1" x14ac:dyDescent="0.25">
      <c r="A778" s="27">
        <v>775</v>
      </c>
      <c r="B778" s="28" t="s">
        <v>800</v>
      </c>
      <c r="C778" s="19" t="str">
        <f>HYPERLINK("https://portal.genego.com/cgi/entity_page.cgi?term=100&amp;id=-2016037796","TOPBP1")</f>
        <v>TOPBP1</v>
      </c>
      <c r="D778" s="19" t="str">
        <f>HYPERLINK("https://portal.genego.com/cgi/entity_page.cgi?term=20&amp;id=11073","TOPBP1")</f>
        <v>TOPBP1</v>
      </c>
      <c r="E778" s="8">
        <v>3.5793928337682898E-2</v>
      </c>
      <c r="F778" s="17">
        <v>0.8551299</v>
      </c>
    </row>
    <row r="779" spans="1:6" ht="60" customHeight="1" x14ac:dyDescent="0.25">
      <c r="A779" s="27">
        <v>776</v>
      </c>
      <c r="B779" s="28" t="s">
        <v>801</v>
      </c>
      <c r="C779" s="19" t="str">
        <f>HYPERLINK("https://portal.genego.com/cgi/entity_page.cgi?term=100&amp;id=-798782238","TPX2")</f>
        <v>TPX2</v>
      </c>
      <c r="D779" s="19" t="str">
        <f>HYPERLINK("https://portal.genego.com/cgi/entity_page.cgi?term=20&amp;id=-1511714066","TPX2")</f>
        <v>TPX2</v>
      </c>
      <c r="E779" s="14">
        <v>-0.44457931258804601</v>
      </c>
      <c r="F779" s="17">
        <v>1.6055209999999999E-3</v>
      </c>
    </row>
    <row r="780" spans="1:6" ht="60" customHeight="1" x14ac:dyDescent="0.25">
      <c r="A780" s="27">
        <v>777</v>
      </c>
      <c r="B780" s="28" t="s">
        <v>802</v>
      </c>
      <c r="C780" s="19" t="str">
        <f>HYPERLINK("https://portal.genego.com/cgi/entity_page.cgi?term=100&amp;id=769","TRAF2")</f>
        <v>TRAF2</v>
      </c>
      <c r="D780" s="19" t="str">
        <f>HYPERLINK("https://portal.genego.com/cgi/entity_page.cgi?term=20&amp;id=-972012642","TRAF2")</f>
        <v>TRAF2</v>
      </c>
      <c r="E780" s="16">
        <v>-1.30376327689792E-2</v>
      </c>
      <c r="F780" s="17">
        <v>0.95035060000000005</v>
      </c>
    </row>
    <row r="781" spans="1:6" ht="60" customHeight="1" x14ac:dyDescent="0.25">
      <c r="A781" s="27">
        <v>778</v>
      </c>
      <c r="B781" s="28" t="s">
        <v>803</v>
      </c>
      <c r="C781" s="19" t="str">
        <f>HYPERLINK("https://portal.genego.com/cgi/entity_page.cgi?term=100&amp;id=763","TRAF3")</f>
        <v>TRAF3</v>
      </c>
      <c r="D781" s="19" t="str">
        <f>HYPERLINK("https://portal.genego.com/cgi/entity_page.cgi?term=20&amp;id=-204051167","TRAF3")</f>
        <v>TRAF3</v>
      </c>
      <c r="E781" s="7">
        <v>0.12827485466542801</v>
      </c>
      <c r="F781" s="17">
        <v>0.4671361</v>
      </c>
    </row>
    <row r="782" spans="1:6" ht="60" customHeight="1" x14ac:dyDescent="0.25">
      <c r="A782" s="27">
        <v>779</v>
      </c>
      <c r="B782" s="28" t="s">
        <v>804</v>
      </c>
      <c r="C782" s="19" t="str">
        <f>HYPERLINK("https://portal.genego.com/cgi/entity_page.cgi?term=100&amp;id=770","TRAF6")</f>
        <v>TRAF6</v>
      </c>
      <c r="D782" s="19" t="str">
        <f>HYPERLINK("https://portal.genego.com/cgi/entity_page.cgi?term=20&amp;id=1555100745","TRAF6")</f>
        <v>TRAF6</v>
      </c>
      <c r="E782" s="7">
        <v>0.189821622859254</v>
      </c>
      <c r="F782" s="17">
        <v>0.28091129999999997</v>
      </c>
    </row>
    <row r="783" spans="1:6" ht="60" customHeight="1" x14ac:dyDescent="0.25">
      <c r="A783" s="27">
        <v>780</v>
      </c>
      <c r="B783" s="28" t="s">
        <v>805</v>
      </c>
      <c r="C783" s="19" t="str">
        <f>HYPERLINK("https://portal.genego.com/cgi/entity_page.cgi?term=100&amp;id=-338889741","TRAM")</f>
        <v>TRAM</v>
      </c>
      <c r="D783" s="19" t="str">
        <f>HYPERLINK("https://portal.genego.com/cgi/entity_page.cgi?term=20&amp;id=353376","TICAM2")</f>
        <v>TICAM2</v>
      </c>
      <c r="E783" s="7">
        <v>0.12998483522405299</v>
      </c>
      <c r="F783" s="17">
        <v>0.46861989999999998</v>
      </c>
    </row>
    <row r="784" spans="1:6" ht="60" customHeight="1" x14ac:dyDescent="0.25">
      <c r="A784" s="27">
        <v>781</v>
      </c>
      <c r="B784" s="28" t="s">
        <v>806</v>
      </c>
      <c r="C784" s="19" t="str">
        <f>HYPERLINK("https://portal.genego.com/cgi/entity_page.cgi?term=100&amp;id=772","TRF1")</f>
        <v>TRF1</v>
      </c>
      <c r="D784" s="19" t="str">
        <f>HYPERLINK("https://portal.genego.com/cgi/entity_page.cgi?term=20&amp;id=-1970147848","TERF1")</f>
        <v>TERF1</v>
      </c>
      <c r="E784" s="7">
        <v>0.22203908070878001</v>
      </c>
      <c r="F784" s="17">
        <v>0.19076470000000001</v>
      </c>
    </row>
    <row r="785" spans="1:6" ht="60" customHeight="1" x14ac:dyDescent="0.25">
      <c r="A785" s="27">
        <v>782</v>
      </c>
      <c r="B785" s="28" t="s">
        <v>807</v>
      </c>
      <c r="C785" s="19" t="str">
        <f>HYPERLINK("https://portal.genego.com/cgi/entity_page.cgi?term=100&amp;id=773","TRF2")</f>
        <v>TRF2</v>
      </c>
      <c r="D785" s="19" t="str">
        <f>HYPERLINK("https://portal.genego.com/cgi/entity_page.cgi?term=20&amp;id=-400651018","TERF2")</f>
        <v>TERF2</v>
      </c>
      <c r="E785" s="8">
        <v>7.6327332103156398E-2</v>
      </c>
      <c r="F785" s="17">
        <v>0.66226830000000003</v>
      </c>
    </row>
    <row r="786" spans="1:6" ht="60" customHeight="1" x14ac:dyDescent="0.25">
      <c r="A786" s="27">
        <v>783</v>
      </c>
      <c r="B786" s="28" t="s">
        <v>808</v>
      </c>
      <c r="C786" s="19" t="str">
        <f>HYPERLINK("https://portal.genego.com/cgi/entity_page.cgi?term=100&amp;id=-208182599","TRIF (TICAM1)")</f>
        <v>TRIF (TICAM1)</v>
      </c>
      <c r="D786" s="19" t="str">
        <f>HYPERLINK("https://portal.genego.com/cgi/entity_page.cgi?term=20&amp;id=-1141927588","TICAM1")</f>
        <v>TICAM1</v>
      </c>
      <c r="E786" s="16">
        <v>-1.2248754528549901E-2</v>
      </c>
      <c r="F786" s="17">
        <v>0.95228420000000003</v>
      </c>
    </row>
    <row r="787" spans="1:6" ht="60" customHeight="1" x14ac:dyDescent="0.25">
      <c r="A787" s="27">
        <v>784</v>
      </c>
      <c r="B787" s="28" t="s">
        <v>809</v>
      </c>
      <c r="C787" s="19" t="str">
        <f>HYPERLINK("https://portal.genego.com/cgi/entity_page.cgi?term=100&amp;id=-141294038","TRIP6")</f>
        <v>TRIP6</v>
      </c>
      <c r="D787" s="19" t="str">
        <f>HYPERLINK("https://portal.genego.com/cgi/entity_page.cgi?term=20&amp;id=515053208","TRIP6")</f>
        <v>TRIP6</v>
      </c>
      <c r="E787" s="15">
        <v>-0.162852263015485</v>
      </c>
      <c r="F787" s="17">
        <v>0.3432231</v>
      </c>
    </row>
    <row r="788" spans="1:6" ht="60" customHeight="1" x14ac:dyDescent="0.25">
      <c r="A788" s="27">
        <v>785</v>
      </c>
      <c r="B788" s="28" t="s">
        <v>810</v>
      </c>
      <c r="C788" s="19" t="str">
        <f>HYPERLINK("https://portal.genego.com/cgi/entity_page.cgi?term=100&amp;id=-1284142004","TRPC6")</f>
        <v>TRPC6</v>
      </c>
      <c r="D788" s="19" t="str">
        <f>HYPERLINK("https://portal.genego.com/cgi/entity_page.cgi?term=20&amp;id=-779004046","TRPC6")</f>
        <v>TRPC6</v>
      </c>
      <c r="E788" s="16">
        <v>-2.26227795070244E-3</v>
      </c>
      <c r="F788" s="17">
        <v>1</v>
      </c>
    </row>
    <row r="789" spans="1:6" ht="60" customHeight="1" x14ac:dyDescent="0.25">
      <c r="A789" s="27">
        <v>786</v>
      </c>
      <c r="B789" s="28" t="s">
        <v>811</v>
      </c>
      <c r="C789" s="19" t="str">
        <f>HYPERLINK("https://portal.genego.com/cgi/entity_page.cgi?term=100&amp;id=8135","TTK")</f>
        <v>TTK</v>
      </c>
      <c r="D789" s="19" t="str">
        <f>HYPERLINK("https://portal.genego.com/cgi/entity_page.cgi?term=20&amp;id=1211320176","TTK")</f>
        <v>TTK</v>
      </c>
      <c r="E789" s="13">
        <v>-0.48021580584700901</v>
      </c>
      <c r="F789" s="17">
        <v>1.5843690000000001E-2</v>
      </c>
    </row>
    <row r="790" spans="1:6" ht="60" customHeight="1" x14ac:dyDescent="0.25">
      <c r="A790" s="27">
        <v>787</v>
      </c>
      <c r="B790" s="28" t="s">
        <v>812</v>
      </c>
      <c r="C790" s="19" t="str">
        <f>HYPERLINK("https://portal.genego.com/cgi/entity_page.cgi?term=100&amp;id=2826","TWIST1")</f>
        <v>TWIST1</v>
      </c>
      <c r="D790" s="19" t="str">
        <f>HYPERLINK("https://portal.genego.com/cgi/entity_page.cgi?term=20&amp;id=-1609997432","TWIST1")</f>
        <v>TWIST1</v>
      </c>
      <c r="E790" s="15">
        <v>-0.193401150456736</v>
      </c>
      <c r="F790" s="17">
        <v>0.28898449999999998</v>
      </c>
    </row>
    <row r="791" spans="1:6" ht="60" customHeight="1" x14ac:dyDescent="0.25">
      <c r="A791" s="27">
        <v>788</v>
      </c>
      <c r="B791" s="28" t="s">
        <v>813</v>
      </c>
      <c r="C791" s="19" t="str">
        <f>HYPERLINK("https://portal.genego.com/cgi/entity_page.cgi?term=100&amp;id=1151","Tankyrase 1")</f>
        <v>Tankyrase 1</v>
      </c>
      <c r="D791" s="19" t="str">
        <f>HYPERLINK("https://portal.genego.com/cgi/entity_page.cgi?term=20&amp;id=-1748084151","TNKS")</f>
        <v>TNKS</v>
      </c>
      <c r="E791" s="7">
        <v>0.13363000721846299</v>
      </c>
      <c r="F791" s="17">
        <v>0.46009719999999998</v>
      </c>
    </row>
    <row r="792" spans="1:6" ht="60" customHeight="1" x14ac:dyDescent="0.25">
      <c r="A792" s="27">
        <v>789</v>
      </c>
      <c r="B792" s="28" t="s">
        <v>814</v>
      </c>
      <c r="C792" s="19" t="str">
        <f>HYPERLINK("https://portal.genego.com/cgi/entity_page.cgi?term=100&amp;id=-526375616","Tankyrase 2")</f>
        <v>Tankyrase 2</v>
      </c>
      <c r="D792" s="19" t="str">
        <f>HYPERLINK("https://portal.genego.com/cgi/entity_page.cgi?term=20&amp;id=-1617421522","TNKS2")</f>
        <v>TNKS2</v>
      </c>
      <c r="E792" s="7">
        <v>0.154506271700043</v>
      </c>
      <c r="F792" s="17">
        <v>0.39741969999999999</v>
      </c>
    </row>
    <row r="793" spans="1:6" ht="60" customHeight="1" x14ac:dyDescent="0.25">
      <c r="A793" s="27">
        <v>790</v>
      </c>
      <c r="B793" s="28" t="s">
        <v>815</v>
      </c>
      <c r="C793" s="19" t="str">
        <f>HYPERLINK("https://portal.genego.com/cgi/entity_page.cgi?term=100&amp;id=-1011803397","Tenascin-C")</f>
        <v>Tenascin-C</v>
      </c>
      <c r="D793" s="19" t="str">
        <f>HYPERLINK("https://portal.genego.com/cgi/entity_page.cgi?term=20&amp;id=680189308","TNC")</f>
        <v>TNC</v>
      </c>
      <c r="E793" s="7">
        <v>0.20350206790609099</v>
      </c>
      <c r="F793" s="17">
        <v>0.2527935</v>
      </c>
    </row>
    <row r="794" spans="1:6" ht="60" customHeight="1" x14ac:dyDescent="0.25">
      <c r="A794" s="27">
        <v>791</v>
      </c>
      <c r="B794" s="28" t="s">
        <v>816</v>
      </c>
      <c r="C794" s="19" t="str">
        <f>HYPERLINK("https://portal.genego.com/cgi/entity_page.cgi?term=100&amp;id=1159","Thrombin")</f>
        <v>Thrombin</v>
      </c>
      <c r="D794" s="19" t="str">
        <f>HYPERLINK("https://portal.genego.com/cgi/entity_page.cgi?term=20&amp;id=-1150550574","F2")</f>
        <v>F2</v>
      </c>
      <c r="E794" s="16">
        <v>-6.9490119622128803E-3</v>
      </c>
      <c r="F794" s="17">
        <v>1</v>
      </c>
    </row>
    <row r="795" spans="1:6" ht="60" customHeight="1" x14ac:dyDescent="0.25">
      <c r="A795" s="27">
        <v>792</v>
      </c>
      <c r="B795" s="28" t="s">
        <v>817</v>
      </c>
      <c r="C795" s="19" t="str">
        <f>HYPERLINK("https://portal.genego.com/cgi/entity_page.cgi?term=100&amp;id=-601423599","Thrombomodulin")</f>
        <v>Thrombomodulin</v>
      </c>
      <c r="D795" s="19" t="str">
        <f>HYPERLINK("https://portal.genego.com/cgi/entity_page.cgi?term=20&amp;id=-1761858295","THBD")</f>
        <v>THBD</v>
      </c>
      <c r="E795" s="7">
        <v>0.14713593017736701</v>
      </c>
      <c r="F795" s="17">
        <v>0.41788760000000003</v>
      </c>
    </row>
    <row r="796" spans="1:6" ht="60" customHeight="1" x14ac:dyDescent="0.25">
      <c r="A796" s="27">
        <v>793</v>
      </c>
      <c r="B796" s="28" t="s">
        <v>818</v>
      </c>
      <c r="C796" s="19" t="str">
        <f>HYPERLINK("https://portal.genego.com/cgi/entity_page.cgi?term=100&amp;id=-377805246","Tiam1")</f>
        <v>Tiam1</v>
      </c>
      <c r="D796" s="19" t="str">
        <f>HYPERLINK("https://portal.genego.com/cgi/entity_page.cgi?term=20&amp;id=56786338","TIAM1")</f>
        <v>TIAM1</v>
      </c>
      <c r="E796" s="8">
        <v>3.3281946541747501E-2</v>
      </c>
      <c r="F796" s="17">
        <v>0.86293549999999997</v>
      </c>
    </row>
    <row r="797" spans="1:6" ht="60" customHeight="1" x14ac:dyDescent="0.25">
      <c r="A797" s="27">
        <v>794</v>
      </c>
      <c r="B797" s="28" t="s">
        <v>819</v>
      </c>
      <c r="C797" s="19" t="str">
        <f>HYPERLINK("https://portal.genego.com/cgi/entity_page.cgi?term=100&amp;id=-1964619858","Tob1")</f>
        <v>Tob1</v>
      </c>
      <c r="D797" s="19" t="str">
        <f>HYPERLINK("https://portal.genego.com/cgi/entity_page.cgi?term=20&amp;id=-1897842908","TOB1")</f>
        <v>TOB1</v>
      </c>
      <c r="E797" s="7">
        <v>0.235010513073622</v>
      </c>
      <c r="F797" s="17">
        <v>0.13057679999999999</v>
      </c>
    </row>
    <row r="798" spans="1:6" ht="60" customHeight="1" x14ac:dyDescent="0.25">
      <c r="A798" s="27">
        <v>795</v>
      </c>
      <c r="B798" s="28" t="s">
        <v>820</v>
      </c>
      <c r="C798" s="19" t="str">
        <f>HYPERLINK("https://portal.genego.com/cgi/entity_page.cgi?term=100&amp;id=-815163266","Tome-1")</f>
        <v>Tome-1</v>
      </c>
      <c r="D798" s="19" t="str">
        <f>HYPERLINK("https://portal.genego.com/cgi/entity_page.cgi?term=20&amp;id=602698207","CDCA3")</f>
        <v>CDCA3</v>
      </c>
      <c r="E798" s="12">
        <v>-0.68438222572096996</v>
      </c>
      <c r="F798" s="17">
        <v>4.9033409999999998E-5</v>
      </c>
    </row>
    <row r="799" spans="1:6" ht="60" customHeight="1" x14ac:dyDescent="0.25">
      <c r="A799" s="27">
        <v>796</v>
      </c>
      <c r="B799" s="28" t="s">
        <v>821</v>
      </c>
      <c r="C799" s="19" t="str">
        <f>HYPERLINK("https://portal.genego.com/cgi/entity_page.cgi?term=100&amp;id=6169","Transgelin")</f>
        <v>Transgelin</v>
      </c>
      <c r="D799" s="19" t="str">
        <f>HYPERLINK("https://portal.genego.com/cgi/entity_page.cgi?term=20&amp;id=-536606271","TAGLN")</f>
        <v>TAGLN</v>
      </c>
      <c r="E799" s="7">
        <v>0.12322080801530901</v>
      </c>
      <c r="F799" s="17">
        <v>0.48455239999999999</v>
      </c>
    </row>
    <row r="800" spans="1:6" ht="60" customHeight="1" x14ac:dyDescent="0.25">
      <c r="A800" s="27">
        <v>797</v>
      </c>
      <c r="B800" s="28" t="s">
        <v>822</v>
      </c>
      <c r="C800" s="19" t="str">
        <f>HYPERLINK("https://portal.genego.com/cgi/entity_page.cgi?term=100&amp;id=4139","Tuberin")</f>
        <v>Tuberin</v>
      </c>
      <c r="D800" s="19" t="str">
        <f>HYPERLINK("https://portal.genego.com/cgi/entity_page.cgi?term=20&amp;id=-1971387959","TSC2")</f>
        <v>TSC2</v>
      </c>
      <c r="E800" s="8">
        <v>1.7308565068800501E-2</v>
      </c>
      <c r="F800" s="17">
        <v>0.9365909</v>
      </c>
    </row>
    <row r="801" spans="1:6" ht="60" customHeight="1" x14ac:dyDescent="0.25">
      <c r="A801" s="27">
        <v>798</v>
      </c>
      <c r="B801" s="28" t="s">
        <v>823</v>
      </c>
      <c r="C801" s="19" t="str">
        <f>HYPERLINK("https://portal.genego.com/cgi/entity_page.cgi?term=100&amp;id=791","Tyk2")</f>
        <v>Tyk2</v>
      </c>
      <c r="D801" s="19" t="str">
        <f>HYPERLINK("https://portal.genego.com/cgi/entity_page.cgi?term=20&amp;id=461526809","TYK2")</f>
        <v>TYK2</v>
      </c>
      <c r="E801" s="16">
        <v>-1.1539566366569501E-3</v>
      </c>
      <c r="F801" s="17">
        <v>0.99348899999999996</v>
      </c>
    </row>
    <row r="802" spans="1:6" ht="60" customHeight="1" x14ac:dyDescent="0.25">
      <c r="A802" s="27">
        <v>799</v>
      </c>
      <c r="B802" s="28" t="s">
        <v>824</v>
      </c>
      <c r="C802" s="19" t="str">
        <f>HYPERLINK("https://portal.genego.com/cgi/entity_page.cgi?term=100&amp;id=2550","UBE1")</f>
        <v>UBE1</v>
      </c>
      <c r="D802" s="19" t="str">
        <f>HYPERLINK("https://portal.genego.com/cgi/entity_page.cgi?term=20&amp;id=-1491708085","UBA1")</f>
        <v>UBA1</v>
      </c>
      <c r="E802" s="8">
        <v>1.1995822762072001E-2</v>
      </c>
      <c r="F802" s="17">
        <v>0.95060619999999996</v>
      </c>
    </row>
    <row r="803" spans="1:6" ht="60" customHeight="1" x14ac:dyDescent="0.25">
      <c r="A803" s="27">
        <v>800</v>
      </c>
      <c r="B803" s="28" t="s">
        <v>825</v>
      </c>
      <c r="C803" s="19" t="str">
        <f>HYPERLINK("https://portal.genego.com/cgi/entity_page.cgi?term=100&amp;id=-771709420","UBE2C")</f>
        <v>UBE2C</v>
      </c>
      <c r="D803" s="19" t="str">
        <f>HYPERLINK("https://portal.genego.com/cgi/entity_page.cgi?term=20&amp;id=-1088375","UBE2C")</f>
        <v>UBE2C</v>
      </c>
      <c r="E803" s="14">
        <v>-0.40439141975732701</v>
      </c>
      <c r="F803" s="17">
        <v>2.9527729999999999E-2</v>
      </c>
    </row>
    <row r="804" spans="1:6" ht="60" customHeight="1" x14ac:dyDescent="0.25">
      <c r="A804" s="27">
        <v>801</v>
      </c>
      <c r="B804" s="28" t="s">
        <v>826</v>
      </c>
      <c r="C804" s="19" t="str">
        <f>HYPERLINK("https://portal.genego.com/cgi/entity_page.cgi?term=100&amp;id=-1944005913","UBF")</f>
        <v>UBF</v>
      </c>
      <c r="D804" s="19" t="str">
        <f>HYPERLINK("https://portal.genego.com/cgi/entity_page.cgi?term=20&amp;id=404538251","UBTF")</f>
        <v>UBTF</v>
      </c>
      <c r="E804" s="15">
        <v>-0.129586472840241</v>
      </c>
      <c r="F804" s="17">
        <v>0.4015629</v>
      </c>
    </row>
    <row r="805" spans="1:6" ht="60" customHeight="1" x14ac:dyDescent="0.25">
      <c r="A805" s="27">
        <v>802</v>
      </c>
      <c r="B805" s="28" t="s">
        <v>827</v>
      </c>
      <c r="C805" s="19" t="str">
        <f>HYPERLINK("https://portal.genego.com/cgi/entity_page.cgi?term=100&amp;id=-1192595805","UCA1")</f>
        <v>UCA1</v>
      </c>
      <c r="D805" s="19" t="str">
        <f>HYPERLINK("https://portal.genego.com/cgi/entity_page.cgi?term=20&amp;id=-1176063536","UCA1")</f>
        <v>UCA1</v>
      </c>
      <c r="E805" s="8">
        <v>2.0551362746321798E-3</v>
      </c>
      <c r="F805" s="17">
        <v>1</v>
      </c>
    </row>
    <row r="806" spans="1:6" ht="60" customHeight="1" x14ac:dyDescent="0.25">
      <c r="A806" s="27">
        <v>803</v>
      </c>
      <c r="B806" s="28" t="s">
        <v>828</v>
      </c>
      <c r="C806" s="19" t="str">
        <f>HYPERLINK("https://portal.genego.com/cgi/entity_page.cgi?term=100&amp;id=6144","UCP2")</f>
        <v>UCP2</v>
      </c>
      <c r="D806" s="19" t="str">
        <f>HYPERLINK("https://portal.genego.com/cgi/entity_page.cgi?term=20&amp;id=2141623307","UCP2")</f>
        <v>UCP2</v>
      </c>
      <c r="E806" s="12">
        <v>-0.67484758858023497</v>
      </c>
      <c r="F806" s="17">
        <v>5.2252880000000002E-4</v>
      </c>
    </row>
    <row r="807" spans="1:6" ht="60" customHeight="1" x14ac:dyDescent="0.25">
      <c r="A807" s="27">
        <v>804</v>
      </c>
      <c r="B807" s="28" t="s">
        <v>829</v>
      </c>
      <c r="C807" s="19" t="str">
        <f>HYPERLINK("https://portal.genego.com/cgi/entity_page.cgi?term=100&amp;id=-92747708","UFO")</f>
        <v>UFO</v>
      </c>
      <c r="D807" s="19" t="str">
        <f>HYPERLINK("https://portal.genego.com/cgi/entity_page.cgi?term=20&amp;id=1401101829","AXL")</f>
        <v>AXL</v>
      </c>
      <c r="E807" s="13">
        <v>-0.48438671471894201</v>
      </c>
      <c r="F807" s="17">
        <v>5.9344630000000003E-5</v>
      </c>
    </row>
    <row r="808" spans="1:6" ht="60" customHeight="1" x14ac:dyDescent="0.25">
      <c r="A808" s="27">
        <v>805</v>
      </c>
      <c r="B808" s="28" t="s">
        <v>830</v>
      </c>
      <c r="C808" s="19" t="str">
        <f>HYPERLINK("https://portal.genego.com/cgi/entity_page.cgi?term=100&amp;id=-201751751","ULK1")</f>
        <v>ULK1</v>
      </c>
      <c r="D808" s="19" t="str">
        <f>HYPERLINK("https://portal.genego.com/cgi/entity_page.cgi?term=20&amp;id=1178793924","ULK1")</f>
        <v>ULK1</v>
      </c>
      <c r="E808" s="15">
        <v>-0.16040408458800101</v>
      </c>
      <c r="F808" s="17">
        <v>0.33595449999999999</v>
      </c>
    </row>
    <row r="809" spans="1:6" ht="60" customHeight="1" x14ac:dyDescent="0.25">
      <c r="A809" s="27">
        <v>806</v>
      </c>
      <c r="B809" s="28" t="s">
        <v>831</v>
      </c>
      <c r="C809" s="19" t="str">
        <f>HYPERLINK("https://portal.genego.com/cgi/entity_page.cgi?term=100&amp;id=-470939934","ULK2")</f>
        <v>ULK2</v>
      </c>
      <c r="D809" s="19" t="str">
        <f>HYPERLINK("https://portal.genego.com/cgi/entity_page.cgi?term=20&amp;id=9706","ULK2")</f>
        <v>ULK2</v>
      </c>
      <c r="E809" s="16">
        <v>-9.1967466347141605E-2</v>
      </c>
      <c r="F809" s="17">
        <v>0.61239560000000004</v>
      </c>
    </row>
    <row r="810" spans="1:6" ht="60" customHeight="1" x14ac:dyDescent="0.25">
      <c r="A810" s="27">
        <v>807</v>
      </c>
      <c r="B810" s="28" t="s">
        <v>832</v>
      </c>
      <c r="C810" s="19" t="str">
        <f>HYPERLINK("https://portal.genego.com/cgi/entity_page.cgi?term=100&amp;id=4317","USF1")</f>
        <v>USF1</v>
      </c>
      <c r="D810" s="19" t="str">
        <f>HYPERLINK("https://portal.genego.com/cgi/entity_page.cgi?term=20&amp;id=1326897245","USF1")</f>
        <v>USF1</v>
      </c>
      <c r="E810" s="16">
        <v>-8.2189037262232797E-2</v>
      </c>
      <c r="F810" s="17">
        <v>0.65257600000000004</v>
      </c>
    </row>
    <row r="811" spans="1:6" ht="60" customHeight="1" x14ac:dyDescent="0.25">
      <c r="A811" s="27">
        <v>808</v>
      </c>
      <c r="B811" s="28" t="s">
        <v>833</v>
      </c>
      <c r="C811" s="19" t="str">
        <f>HYPERLINK("https://portal.genego.com/cgi/entity_page.cgi?term=100&amp;id=-633353506","VASP")</f>
        <v>VASP</v>
      </c>
      <c r="D811" s="19" t="str">
        <f>HYPERLINK("https://portal.genego.com/cgi/entity_page.cgi?term=20&amp;id=-1483129416","VASP")</f>
        <v>VASP</v>
      </c>
      <c r="E811" s="15">
        <v>-0.17200066879423401</v>
      </c>
      <c r="F811" s="17">
        <v>0.27938259999999998</v>
      </c>
    </row>
    <row r="812" spans="1:6" ht="60" customHeight="1" x14ac:dyDescent="0.25">
      <c r="A812" s="27">
        <v>809</v>
      </c>
      <c r="B812" s="28" t="s">
        <v>834</v>
      </c>
      <c r="C812" s="19" t="str">
        <f>HYPERLINK("https://portal.genego.com/cgi/entity_page.cgi?term=100&amp;id=804","VAV-1")</f>
        <v>VAV-1</v>
      </c>
      <c r="D812" s="19" t="str">
        <f>HYPERLINK("https://portal.genego.com/cgi/entity_page.cgi?term=20&amp;id=-2011313319","VAV1")</f>
        <v>VAV1</v>
      </c>
      <c r="E812" s="16">
        <v>-2.6049733480917798E-3</v>
      </c>
      <c r="F812" s="17">
        <v>1</v>
      </c>
    </row>
    <row r="813" spans="1:6" ht="60" customHeight="1" x14ac:dyDescent="0.25">
      <c r="A813" s="27">
        <v>810</v>
      </c>
      <c r="B813" s="28" t="s">
        <v>835</v>
      </c>
      <c r="C813" s="19" t="str">
        <f>HYPERLINK("https://portal.genego.com/cgi/entity_page.cgi?term=100&amp;id=806","VEGF-A")</f>
        <v>VEGF-A</v>
      </c>
      <c r="D813" s="19" t="str">
        <f>HYPERLINK("https://portal.genego.com/cgi/entity_page.cgi?term=20&amp;id=-1879068881","VEGFA")</f>
        <v>VEGFA</v>
      </c>
      <c r="E813" s="16">
        <v>-6.6266474492205296E-2</v>
      </c>
      <c r="F813" s="17">
        <v>0.70081459999999995</v>
      </c>
    </row>
    <row r="814" spans="1:6" ht="60" customHeight="1" x14ac:dyDescent="0.25">
      <c r="A814" s="27">
        <v>811</v>
      </c>
      <c r="B814" s="28" t="s">
        <v>836</v>
      </c>
      <c r="C814" s="19" t="str">
        <f>HYPERLINK("https://portal.genego.com/cgi/entity_page.cgi?term=100&amp;id=810","VEGFR-1")</f>
        <v>VEGFR-1</v>
      </c>
      <c r="D814" s="19" t="str">
        <f>HYPERLINK("https://portal.genego.com/cgi/entity_page.cgi?term=20&amp;id=-984270019","FLT1")</f>
        <v>FLT1</v>
      </c>
      <c r="E814" s="8">
        <v>3.4830474076613699E-3</v>
      </c>
      <c r="F814" s="17">
        <v>1</v>
      </c>
    </row>
    <row r="815" spans="1:6" ht="60" customHeight="1" x14ac:dyDescent="0.25">
      <c r="A815" s="27">
        <v>812</v>
      </c>
      <c r="B815" s="28" t="s">
        <v>837</v>
      </c>
      <c r="C815" s="19" t="str">
        <f>HYPERLINK("https://portal.genego.com/cgi/entity_page.cgi?term=100&amp;id=3043","Versican")</f>
        <v>Versican</v>
      </c>
      <c r="D815" s="19" t="str">
        <f>HYPERLINK("https://portal.genego.com/cgi/entity_page.cgi?term=20&amp;id=-740157153","VCAN")</f>
        <v>VCAN</v>
      </c>
      <c r="E815" s="8">
        <v>6.2741057427951899E-2</v>
      </c>
      <c r="F815" s="17">
        <v>0.72800450000000005</v>
      </c>
    </row>
    <row r="816" spans="1:6" ht="60" customHeight="1" x14ac:dyDescent="0.25">
      <c r="A816" s="27">
        <v>813</v>
      </c>
      <c r="B816" s="28" t="s">
        <v>838</v>
      </c>
      <c r="C816" s="19" t="str">
        <f>HYPERLINK("https://portal.genego.com/cgi/entity_page.cgi?term=100&amp;id=2284","Vinculin")</f>
        <v>Vinculin</v>
      </c>
      <c r="D816" s="19" t="str">
        <f>HYPERLINK("https://portal.genego.com/cgi/entity_page.cgi?term=20&amp;id=1323557861","VCL")</f>
        <v>VCL</v>
      </c>
      <c r="E816" s="6">
        <v>0.38413253090183802</v>
      </c>
      <c r="F816" s="17">
        <v>3.4241510000000003E-2</v>
      </c>
    </row>
    <row r="817" spans="1:6" ht="60" customHeight="1" x14ac:dyDescent="0.25">
      <c r="A817" s="27">
        <v>814</v>
      </c>
      <c r="B817" s="28" t="s">
        <v>839</v>
      </c>
      <c r="C817" s="19" t="str">
        <f>HYPERLINK("https://portal.genego.com/cgi/entity_page.cgi?term=100&amp;id=-1568361476","WBP-2")</f>
        <v>WBP-2</v>
      </c>
      <c r="D817" s="19" t="str">
        <f>HYPERLINK("https://portal.genego.com/cgi/entity_page.cgi?term=20&amp;id=-1053321488","WBP2")</f>
        <v>WBP2</v>
      </c>
      <c r="E817" s="14">
        <v>-0.296339514352772</v>
      </c>
      <c r="F817" s="17">
        <v>6.7299529999999996E-2</v>
      </c>
    </row>
    <row r="818" spans="1:6" ht="60" customHeight="1" x14ac:dyDescent="0.25">
      <c r="A818" s="27">
        <v>815</v>
      </c>
      <c r="B818" s="28" t="s">
        <v>840</v>
      </c>
      <c r="C818" s="19" t="str">
        <f>HYPERLINK("https://portal.genego.com/cgi/entity_page.cgi?term=100&amp;id=-464017067","WDHD1")</f>
        <v>WDHD1</v>
      </c>
      <c r="D818" s="19" t="str">
        <f>HYPERLINK("https://portal.genego.com/cgi/entity_page.cgi?term=20&amp;id=11169","WDHD1")</f>
        <v>WDHD1</v>
      </c>
      <c r="E818" s="16">
        <v>-4.4198209206302401E-2</v>
      </c>
      <c r="F818" s="17">
        <v>0.82278759999999995</v>
      </c>
    </row>
    <row r="819" spans="1:6" ht="60" customHeight="1" x14ac:dyDescent="0.25">
      <c r="A819" s="27">
        <v>816</v>
      </c>
      <c r="B819" s="28" t="s">
        <v>841</v>
      </c>
      <c r="C819" s="19" t="str">
        <f>HYPERLINK("https://portal.genego.com/cgi/entity_page.cgi?term=100&amp;id=3040","WRN")</f>
        <v>WRN</v>
      </c>
      <c r="D819" s="19" t="str">
        <f>HYPERLINK("https://portal.genego.com/cgi/entity_page.cgi?term=20&amp;id=-2051920159","WRN")</f>
        <v>WRN</v>
      </c>
      <c r="E819" s="7">
        <v>0.29803478723988602</v>
      </c>
      <c r="F819" s="17">
        <v>0.1385913</v>
      </c>
    </row>
    <row r="820" spans="1:6" ht="60" customHeight="1" x14ac:dyDescent="0.25">
      <c r="A820" s="27">
        <v>817</v>
      </c>
      <c r="B820" s="28" t="s">
        <v>842</v>
      </c>
      <c r="C820" s="19" t="str">
        <f>HYPERLINK("https://portal.genego.com/cgi/entity_page.cgi?term=100&amp;id=-1246856798","WTIP")</f>
        <v>WTIP</v>
      </c>
      <c r="D820" s="19" t="str">
        <f>HYPERLINK("https://portal.genego.com/cgi/entity_page.cgi?term=20&amp;id=-1354581789","WTIP")</f>
        <v>WTIP</v>
      </c>
      <c r="E820" s="15">
        <v>-0.180298930915232</v>
      </c>
      <c r="F820" s="17">
        <v>0.32776470000000002</v>
      </c>
    </row>
    <row r="821" spans="1:6" ht="60" customHeight="1" x14ac:dyDescent="0.25">
      <c r="A821" s="27">
        <v>818</v>
      </c>
      <c r="B821" s="28" t="s">
        <v>843</v>
      </c>
      <c r="C821" s="19" t="str">
        <f>HYPERLINK("https://portal.genego.com/cgi/entity_page.cgi?term=100&amp;id=-123352143","WW45")</f>
        <v>WW45</v>
      </c>
      <c r="D821" s="19" t="str">
        <f>HYPERLINK("https://portal.genego.com/cgi/entity_page.cgi?term=20&amp;id=60485","SAV1")</f>
        <v>SAV1</v>
      </c>
      <c r="E821" s="8">
        <v>3.4016841918272901E-2</v>
      </c>
      <c r="F821" s="17">
        <v>0.86293549999999997</v>
      </c>
    </row>
    <row r="822" spans="1:6" ht="60" customHeight="1" x14ac:dyDescent="0.25">
      <c r="A822" s="27">
        <v>819</v>
      </c>
      <c r="B822" s="28" t="s">
        <v>844</v>
      </c>
      <c r="C822" s="19" t="str">
        <f>HYPERLINK("https://portal.genego.com/cgi/entity_page.cgi?term=100&amp;id=817","Wee1")</f>
        <v>Wee1</v>
      </c>
      <c r="D822" s="19" t="str">
        <f>HYPERLINK("https://portal.genego.com/cgi/entity_page.cgi?term=20&amp;id=310556658","WEE1")</f>
        <v>WEE1</v>
      </c>
      <c r="E822" s="15">
        <v>-0.209158745779811</v>
      </c>
      <c r="F822" s="17">
        <v>0.21023439999999999</v>
      </c>
    </row>
    <row r="823" spans="1:6" ht="60" customHeight="1" x14ac:dyDescent="0.25">
      <c r="A823" s="27">
        <v>820</v>
      </c>
      <c r="B823" s="28" t="s">
        <v>845</v>
      </c>
      <c r="C823" s="19" t="str">
        <f>HYPERLINK("https://portal.genego.com/cgi/entity_page.cgi?term=100&amp;id=-498820530","Willin")</f>
        <v>Willin</v>
      </c>
      <c r="D823" s="19" t="str">
        <f>HYPERLINK("https://portal.genego.com/cgi/entity_page.cgi?term=20&amp;id=122786","FRMD6")</f>
        <v>FRMD6</v>
      </c>
      <c r="E823" s="8">
        <v>4.6594254937712201E-2</v>
      </c>
      <c r="F823" s="17">
        <v>0.81423409999999996</v>
      </c>
    </row>
    <row r="824" spans="1:6" ht="60" customHeight="1" x14ac:dyDescent="0.25">
      <c r="A824" s="27">
        <v>821</v>
      </c>
      <c r="B824" s="28" t="s">
        <v>846</v>
      </c>
      <c r="C824" s="19" t="str">
        <f>HYPERLINK("https://portal.genego.com/cgi/entity_page.cgi?term=100&amp;id=4448","Xanthine oxidase")</f>
        <v>Xanthine oxidase</v>
      </c>
      <c r="D824" s="19" t="str">
        <f>HYPERLINK("https://portal.genego.com/cgi/entity_page.cgi?term=20&amp;id=-2096156354","XDH")</f>
        <v>XDH</v>
      </c>
      <c r="E824" s="6">
        <v>0.474011735038112</v>
      </c>
      <c r="F824" s="17">
        <v>4.7228680000000002E-2</v>
      </c>
    </row>
    <row r="825" spans="1:6" ht="60" customHeight="1" x14ac:dyDescent="0.25">
      <c r="A825" s="27">
        <v>822</v>
      </c>
      <c r="B825" s="28" t="s">
        <v>847</v>
      </c>
      <c r="C825" s="19" t="str">
        <f>HYPERLINK("https://portal.genego.com/cgi/entity_page.cgi?term=100&amp;id=-756102571","YAP1 (YAp65)")</f>
        <v>YAP1 (YAp65)</v>
      </c>
      <c r="D825" s="19" t="str">
        <f>HYPERLINK("https://portal.genego.com/cgi/entity_page.cgi?term=20&amp;id=-66259204","YAP1")</f>
        <v>YAP1</v>
      </c>
      <c r="E825" s="16">
        <v>-2.22934415294837E-3</v>
      </c>
      <c r="F825" s="17">
        <v>0.98873339999999998</v>
      </c>
    </row>
    <row r="826" spans="1:6" ht="60" customHeight="1" x14ac:dyDescent="0.25">
      <c r="A826" s="27">
        <v>823</v>
      </c>
      <c r="B826" s="28" t="s">
        <v>848</v>
      </c>
      <c r="C826" s="19" t="str">
        <f>HYPERLINK("https://portal.genego.com/cgi/entity_page.cgi?term=100&amp;id=-765772717","YB-1")</f>
        <v>YB-1</v>
      </c>
      <c r="D826" s="19" t="str">
        <f>HYPERLINK("https://portal.genego.com/cgi/entity_page.cgi?term=20&amp;id=-555084016","YBX1")</f>
        <v>YBX1</v>
      </c>
      <c r="E826" s="15">
        <v>-0.27041921043706202</v>
      </c>
      <c r="F826" s="17">
        <v>7.5177369999999993E-2</v>
      </c>
    </row>
    <row r="827" spans="1:6" ht="60" customHeight="1" x14ac:dyDescent="0.25">
      <c r="A827" s="27">
        <v>824</v>
      </c>
      <c r="B827" s="28" t="s">
        <v>849</v>
      </c>
      <c r="C827" s="19" t="str">
        <f>HYPERLINK("https://portal.genego.com/cgi/entity_page.cgi?term=100&amp;id=4290","YY1")</f>
        <v>YY1</v>
      </c>
      <c r="D827" s="19" t="str">
        <f>HYPERLINK("https://portal.genego.com/cgi/entity_page.cgi?term=20&amp;id=-310331913","YY1")</f>
        <v>YY1</v>
      </c>
      <c r="E827" s="16">
        <v>-4.2319363761319201E-2</v>
      </c>
      <c r="F827" s="17">
        <v>0.82158560000000003</v>
      </c>
    </row>
    <row r="828" spans="1:6" ht="60" customHeight="1" x14ac:dyDescent="0.25">
      <c r="A828" s="27">
        <v>825</v>
      </c>
      <c r="B828" s="28" t="s">
        <v>850</v>
      </c>
      <c r="C828" s="19" t="str">
        <f>HYPERLINK("https://portal.genego.com/cgi/entity_page.cgi?term=100&amp;id=-1063674390","ZIP-kinase")</f>
        <v>ZIP-kinase</v>
      </c>
      <c r="D828" s="19" t="str">
        <f>HYPERLINK("https://portal.genego.com/cgi/entity_page.cgi?term=20&amp;id=-1851570347","DAPK3")</f>
        <v>DAPK3</v>
      </c>
      <c r="E828" s="16">
        <v>-6.6318291813995706E-2</v>
      </c>
      <c r="F828" s="17">
        <v>0.72301090000000001</v>
      </c>
    </row>
    <row r="829" spans="1:6" ht="60" customHeight="1" x14ac:dyDescent="0.25">
      <c r="A829" s="27">
        <v>826</v>
      </c>
      <c r="B829" s="28" t="s">
        <v>851</v>
      </c>
      <c r="C829" s="19" t="str">
        <f>HYPERLINK("https://portal.genego.com/cgi/entity_page.cgi?term=100&amp;id=-2137208958","ZO-2")</f>
        <v>ZO-2</v>
      </c>
      <c r="D829" s="19" t="str">
        <f>HYPERLINK("https://portal.genego.com/cgi/entity_page.cgi?term=20&amp;id=2143541761","TJP2")</f>
        <v>TJP2</v>
      </c>
      <c r="E829" s="16">
        <v>-1.52446868617068E-2</v>
      </c>
      <c r="F829" s="17">
        <v>0.94129629999999997</v>
      </c>
    </row>
    <row r="830" spans="1:6" ht="60" customHeight="1" x14ac:dyDescent="0.25">
      <c r="A830" s="27">
        <v>827</v>
      </c>
      <c r="B830" s="28" t="s">
        <v>852</v>
      </c>
      <c r="C830" s="19" t="str">
        <f>HYPERLINK("https://portal.genego.com/cgi/entity_page.cgi?term=100&amp;id=-1446245286","ZW10")</f>
        <v>ZW10</v>
      </c>
      <c r="D830" s="19" t="str">
        <f>HYPERLINK("https://portal.genego.com/cgi/entity_page.cgi?term=20&amp;id=1559548238","ZW10")</f>
        <v>ZW10</v>
      </c>
      <c r="E830" s="16">
        <v>-9.1507558295802292E-3</v>
      </c>
      <c r="F830" s="17">
        <v>0.9646747</v>
      </c>
    </row>
    <row r="831" spans="1:6" ht="60" customHeight="1" x14ac:dyDescent="0.25">
      <c r="A831" s="27">
        <v>828</v>
      </c>
      <c r="B831" s="28" t="s">
        <v>853</v>
      </c>
      <c r="C831" s="19" t="str">
        <f>HYPERLINK("https://portal.genego.com/cgi/entity_page.cgi?term=100&amp;id=-1021860892","Zwilch")</f>
        <v>Zwilch</v>
      </c>
      <c r="D831" s="19" t="str">
        <f>HYPERLINK("https://portal.genego.com/cgi/entity_page.cgi?term=20&amp;id=55055","ZWILCH")</f>
        <v>ZWILCH</v>
      </c>
      <c r="E831" s="7">
        <v>0.146769934040303</v>
      </c>
      <c r="F831" s="17">
        <v>0.39103539999999998</v>
      </c>
    </row>
    <row r="832" spans="1:6" ht="60" customHeight="1" x14ac:dyDescent="0.25">
      <c r="A832" s="27">
        <v>829</v>
      </c>
      <c r="B832" s="28" t="s">
        <v>854</v>
      </c>
      <c r="C832" s="19" t="str">
        <f>HYPERLINK("https://portal.genego.com/cgi/entity_page.cgi?term=100&amp;id=866","beta-TrCP")</f>
        <v>beta-TrCP</v>
      </c>
      <c r="D832" s="19" t="str">
        <f>HYPERLINK("https://portal.genego.com/cgi/entity_page.cgi?term=20&amp;id=638466700","BTRC")</f>
        <v>BTRC</v>
      </c>
      <c r="E832" s="7">
        <v>0.28298900044504999</v>
      </c>
      <c r="F832" s="17">
        <v>8.7189569999999994E-2</v>
      </c>
    </row>
    <row r="833" spans="1:6" ht="60" customHeight="1" x14ac:dyDescent="0.25">
      <c r="A833" s="27">
        <v>830</v>
      </c>
      <c r="B833" s="28" t="s">
        <v>855</v>
      </c>
      <c r="C833" s="19" t="str">
        <f>HYPERLINK("https://portal.genego.com/cgi/entity_page.cgi?term=100&amp;id=882","c-Abl")</f>
        <v>c-Abl</v>
      </c>
      <c r="D833" s="19" t="str">
        <f>HYPERLINK("https://portal.genego.com/cgi/entity_page.cgi?term=20&amp;id=1931027645","ABL1")</f>
        <v>ABL1</v>
      </c>
      <c r="E833" s="15">
        <v>-9.3030185459556505E-2</v>
      </c>
      <c r="F833" s="17">
        <v>0.5673397</v>
      </c>
    </row>
    <row r="834" spans="1:6" ht="60" customHeight="1" x14ac:dyDescent="0.25">
      <c r="A834" s="27">
        <v>831</v>
      </c>
      <c r="B834" s="28" t="s">
        <v>856</v>
      </c>
      <c r="C834" s="19" t="str">
        <f>HYPERLINK("https://portal.genego.com/cgi/entity_page.cgi?term=100&amp;id=178","c-Cbl")</f>
        <v>c-Cbl</v>
      </c>
      <c r="D834" s="19" t="str">
        <f>HYPERLINK("https://portal.genego.com/cgi/entity_page.cgi?term=20&amp;id=1389935000","CBL")</f>
        <v>CBL</v>
      </c>
      <c r="E834" s="8">
        <v>9.8223811293153093E-2</v>
      </c>
      <c r="F834" s="17">
        <v>0.5769687</v>
      </c>
    </row>
    <row r="835" spans="1:6" ht="60" customHeight="1" x14ac:dyDescent="0.25">
      <c r="A835" s="27">
        <v>832</v>
      </c>
      <c r="B835" s="28" t="s">
        <v>857</v>
      </c>
      <c r="C835" s="19" t="str">
        <f>HYPERLINK("https://portal.genego.com/cgi/entity_page.cgi?term=100&amp;id=-1818784055","c-FLIP")</f>
        <v>c-FLIP</v>
      </c>
      <c r="D835" s="19" t="str">
        <f>HYPERLINK("https://portal.genego.com/cgi/entity_page.cgi?term=20&amp;id=1710863937","CFLAR")</f>
        <v>CFLAR</v>
      </c>
      <c r="E835" s="6">
        <v>0.36397480630484502</v>
      </c>
      <c r="F835" s="17">
        <v>3.3189509999999998E-2</v>
      </c>
    </row>
    <row r="836" spans="1:6" ht="60" customHeight="1" x14ac:dyDescent="0.25">
      <c r="A836" s="27">
        <v>833</v>
      </c>
      <c r="B836" s="28" t="s">
        <v>858</v>
      </c>
      <c r="C836" s="19" t="str">
        <f>HYPERLINK("https://portal.genego.com/cgi/entity_page.cgi?term=100&amp;id=883","c-Fos")</f>
        <v>c-Fos</v>
      </c>
      <c r="D836" s="19" t="str">
        <f>HYPERLINK("https://portal.genego.com/cgi/entity_page.cgi?term=20&amp;id=-589417940","FOS")</f>
        <v>FOS</v>
      </c>
      <c r="E836" s="3">
        <v>1.0682263077999601</v>
      </c>
      <c r="F836" s="17">
        <v>4.40312E-2</v>
      </c>
    </row>
    <row r="837" spans="1:6" ht="60" customHeight="1" x14ac:dyDescent="0.25">
      <c r="A837" s="27">
        <v>834</v>
      </c>
      <c r="B837" s="28" t="s">
        <v>859</v>
      </c>
      <c r="C837" s="19" t="str">
        <f>HYPERLINK("https://portal.genego.com/cgi/entity_page.cgi?term=100&amp;id=2100","c-IAP1")</f>
        <v>c-IAP1</v>
      </c>
      <c r="D837" s="19" t="str">
        <f>HYPERLINK("https://portal.genego.com/cgi/entity_page.cgi?term=20&amp;id=213461365","BIRC2")</f>
        <v>BIRC2</v>
      </c>
      <c r="E837" s="8">
        <v>3.0849709216664301E-2</v>
      </c>
      <c r="F837" s="17">
        <v>0.87212449999999997</v>
      </c>
    </row>
    <row r="838" spans="1:6" ht="60" customHeight="1" x14ac:dyDescent="0.25">
      <c r="A838" s="27">
        <v>835</v>
      </c>
      <c r="B838" s="28" t="s">
        <v>860</v>
      </c>
      <c r="C838" s="19" t="str">
        <f>HYPERLINK("https://portal.genego.com/cgi/entity_page.cgi?term=100&amp;id=2099","c-IAP2")</f>
        <v>c-IAP2</v>
      </c>
      <c r="D838" s="19" t="str">
        <f>HYPERLINK("https://portal.genego.com/cgi/entity_page.cgi?term=20&amp;id=1812686738","BIRC3")</f>
        <v>BIRC3</v>
      </c>
      <c r="E838" s="16">
        <v>-5.7596908974403102E-2</v>
      </c>
      <c r="F838" s="17">
        <v>0.72539350000000002</v>
      </c>
    </row>
    <row r="839" spans="1:6" ht="60" customHeight="1" x14ac:dyDescent="0.25">
      <c r="A839" s="27">
        <v>836</v>
      </c>
      <c r="B839" s="28" t="s">
        <v>861</v>
      </c>
      <c r="C839" s="19" t="str">
        <f>HYPERLINK("https://portal.genego.com/cgi/entity_page.cgi?term=100&amp;id=884","c-Jun")</f>
        <v>c-Jun</v>
      </c>
      <c r="D839" s="19" t="str">
        <f>HYPERLINK("https://portal.genego.com/cgi/entity_page.cgi?term=20&amp;id=458018884","JUN")</f>
        <v>JUN</v>
      </c>
      <c r="E839" s="7">
        <v>0.17656216929346799</v>
      </c>
      <c r="F839" s="17">
        <v>0.22778989999999999</v>
      </c>
    </row>
    <row r="840" spans="1:6" ht="60" customHeight="1" x14ac:dyDescent="0.25">
      <c r="A840" s="27">
        <v>837</v>
      </c>
      <c r="B840" s="28" t="s">
        <v>862</v>
      </c>
      <c r="C840" s="19" t="str">
        <f>HYPERLINK("https://portal.genego.com/cgi/entity_page.cgi?term=100&amp;id=441","c-Kit")</f>
        <v>c-Kit</v>
      </c>
      <c r="D840" s="19" t="str">
        <f>HYPERLINK("https://portal.genego.com/cgi/entity_page.cgi?term=20&amp;id=-1251309995","KIT")</f>
        <v>KIT</v>
      </c>
      <c r="E840" s="16">
        <v>-5.0274073596581698E-3</v>
      </c>
      <c r="F840" s="17">
        <v>1</v>
      </c>
    </row>
    <row r="841" spans="1:6" ht="60" customHeight="1" x14ac:dyDescent="0.25">
      <c r="A841" s="27">
        <v>838</v>
      </c>
      <c r="B841" s="28" t="s">
        <v>863</v>
      </c>
      <c r="C841" s="19" t="str">
        <f>HYPERLINK("https://portal.genego.com/cgi/entity_page.cgi?term=100&amp;id=8041","c-Maf")</f>
        <v>c-Maf</v>
      </c>
      <c r="D841" s="19" t="str">
        <f>HYPERLINK("https://portal.genego.com/cgi/entity_page.cgi?term=20&amp;id=-277656934","MAF")</f>
        <v>MAF</v>
      </c>
      <c r="E841" s="13">
        <v>-0.549277451717883</v>
      </c>
      <c r="F841" s="17">
        <v>4.4271159999999997E-2</v>
      </c>
    </row>
    <row r="842" spans="1:6" ht="60" customHeight="1" x14ac:dyDescent="0.25">
      <c r="A842" s="27">
        <v>839</v>
      </c>
      <c r="B842" s="28" t="s">
        <v>864</v>
      </c>
      <c r="C842" s="19" t="str">
        <f>HYPERLINK("https://portal.genego.com/cgi/entity_page.cgi?term=100&amp;id=885","c-Myb")</f>
        <v>c-Myb</v>
      </c>
      <c r="D842" s="19" t="str">
        <f>HYPERLINK("https://portal.genego.com/cgi/entity_page.cgi?term=20&amp;id=959934264","MYB")</f>
        <v>MYB</v>
      </c>
      <c r="E842" s="16">
        <v>-1.9274633191509301E-2</v>
      </c>
      <c r="F842" s="17">
        <v>0.87691319999999995</v>
      </c>
    </row>
    <row r="843" spans="1:6" ht="60" customHeight="1" x14ac:dyDescent="0.25">
      <c r="A843" s="27">
        <v>840</v>
      </c>
      <c r="B843" s="28" t="s">
        <v>865</v>
      </c>
      <c r="C843" s="19" t="str">
        <f>HYPERLINK("https://portal.genego.com/cgi/entity_page.cgi?term=100&amp;id=2257","c-Myc")</f>
        <v>c-Myc</v>
      </c>
      <c r="D843" s="19" t="str">
        <f>HYPERLINK("https://portal.genego.com/cgi/entity_page.cgi?term=20&amp;id=-1413709642","MYC")</f>
        <v>MYC</v>
      </c>
      <c r="E843" s="16">
        <v>-4.6723975381827796E-3</v>
      </c>
      <c r="F843" s="17">
        <v>0.96736080000000002</v>
      </c>
    </row>
    <row r="844" spans="1:6" ht="60" customHeight="1" x14ac:dyDescent="0.25">
      <c r="A844" s="27">
        <v>841</v>
      </c>
      <c r="B844" s="28" t="s">
        <v>866</v>
      </c>
      <c r="C844" s="19" t="str">
        <f>HYPERLINK("https://portal.genego.com/cgi/entity_page.cgi?term=100&amp;id=886","c-Raf-1")</f>
        <v>c-Raf-1</v>
      </c>
      <c r="D844" s="19" t="str">
        <f>HYPERLINK("https://portal.genego.com/cgi/entity_page.cgi?term=20&amp;id=-1685026734","RAF1")</f>
        <v>RAF1</v>
      </c>
      <c r="E844" s="8">
        <v>4.3906267034750701E-2</v>
      </c>
      <c r="F844" s="17">
        <v>0.80261740000000004</v>
      </c>
    </row>
    <row r="845" spans="1:6" ht="60" customHeight="1" x14ac:dyDescent="0.25">
      <c r="A845" s="27">
        <v>842</v>
      </c>
      <c r="B845" s="28" t="s">
        <v>867</v>
      </c>
      <c r="C845" s="19" t="str">
        <f>HYPERLINK("https://portal.genego.com/cgi/entity_page.cgi?term=100&amp;id=887","c-Src")</f>
        <v>c-Src</v>
      </c>
      <c r="D845" s="19" t="str">
        <f>HYPERLINK("https://portal.genego.com/cgi/entity_page.cgi?term=20&amp;id=-1754415421","SRC")</f>
        <v>SRC</v>
      </c>
      <c r="E845" s="16">
        <v>-4.2579719122860502E-2</v>
      </c>
      <c r="F845" s="17">
        <v>0.82022490000000003</v>
      </c>
    </row>
    <row r="846" spans="1:6" ht="60" customHeight="1" x14ac:dyDescent="0.25">
      <c r="A846" s="27">
        <v>843</v>
      </c>
      <c r="B846" s="28" t="s">
        <v>868</v>
      </c>
      <c r="C846" s="19" t="str">
        <f>HYPERLINK("https://portal.genego.com/cgi/entity_page.cgi?term=100&amp;id=9217","eEF2")</f>
        <v>eEF2</v>
      </c>
      <c r="D846" s="19" t="str">
        <f>HYPERLINK("https://portal.genego.com/cgi/entity_page.cgi?term=20&amp;id=-223461171","EEF2")</f>
        <v>EEF2</v>
      </c>
      <c r="E846" s="15">
        <v>-0.24888884580486301</v>
      </c>
      <c r="F846" s="17">
        <v>9.1571109999999997E-2</v>
      </c>
    </row>
    <row r="847" spans="1:6" ht="60" customHeight="1" x14ac:dyDescent="0.25">
      <c r="A847" s="27">
        <v>844</v>
      </c>
      <c r="B847" s="28" t="s">
        <v>869</v>
      </c>
      <c r="C847" s="19" t="str">
        <f>HYPERLINK("https://portal.genego.com/cgi/entity_page.cgi?term=100&amp;id=9144","eEF2K")</f>
        <v>eEF2K</v>
      </c>
      <c r="D847" s="19" t="str">
        <f>HYPERLINK("https://portal.genego.com/cgi/entity_page.cgi?term=20&amp;id=-513203693","EEF2K")</f>
        <v>EEF2K</v>
      </c>
      <c r="E847" s="8">
        <v>3.7612485312675401E-2</v>
      </c>
      <c r="F847" s="17">
        <v>0.84886660000000003</v>
      </c>
    </row>
    <row r="848" spans="1:6" ht="60" customHeight="1" x14ac:dyDescent="0.25">
      <c r="A848" s="27">
        <v>845</v>
      </c>
      <c r="B848" s="28" t="s">
        <v>870</v>
      </c>
      <c r="C848" s="19" t="str">
        <f>HYPERLINK("https://portal.genego.com/cgi/entity_page.cgi?term=100&amp;id=2535","eIF2S1")</f>
        <v>eIF2S1</v>
      </c>
      <c r="D848" s="19" t="str">
        <f>HYPERLINK("https://portal.genego.com/cgi/entity_page.cgi?term=20&amp;id=1929370077","EIF2S1")</f>
        <v>EIF2S1</v>
      </c>
      <c r="E848" s="7">
        <v>0.13500248215970601</v>
      </c>
      <c r="F848" s="17">
        <v>0.40117390000000003</v>
      </c>
    </row>
    <row r="849" spans="1:6" ht="60" customHeight="1" x14ac:dyDescent="0.25">
      <c r="A849" s="27">
        <v>846</v>
      </c>
      <c r="B849" s="28" t="s">
        <v>871</v>
      </c>
      <c r="C849" s="19" t="str">
        <f>HYPERLINK("https://portal.genego.com/cgi/entity_page.cgi?term=100&amp;id=2061","eIF4B")</f>
        <v>eIF4B</v>
      </c>
      <c r="D849" s="19" t="str">
        <f>HYPERLINK("https://portal.genego.com/cgi/entity_page.cgi?term=20&amp;id=-1813272616","EIF4B")</f>
        <v>EIF4B</v>
      </c>
      <c r="E849" s="13">
        <v>-0.473085640303473</v>
      </c>
      <c r="F849" s="17">
        <v>2.0619719999999999E-4</v>
      </c>
    </row>
    <row r="850" spans="1:6" ht="60" customHeight="1" x14ac:dyDescent="0.25">
      <c r="A850" s="27">
        <v>847</v>
      </c>
      <c r="B850" s="28" t="s">
        <v>872</v>
      </c>
      <c r="C850" s="19" t="str">
        <f>HYPERLINK("https://portal.genego.com/cgi/entity_page.cgi?term=100&amp;id=952","eIF4E")</f>
        <v>eIF4E</v>
      </c>
      <c r="D850" s="19" t="str">
        <f>HYPERLINK("https://portal.genego.com/cgi/entity_page.cgi?term=20&amp;id=427370598","EIF4E")</f>
        <v>EIF4E</v>
      </c>
      <c r="E850" s="7">
        <v>0.21513505254110399</v>
      </c>
      <c r="F850" s="17">
        <v>0.19123399999999999</v>
      </c>
    </row>
    <row r="851" spans="1:6" ht="60" customHeight="1" x14ac:dyDescent="0.25">
      <c r="A851" s="27">
        <v>848</v>
      </c>
      <c r="B851" s="28" t="s">
        <v>873</v>
      </c>
      <c r="C851" s="19" t="str">
        <f>HYPERLINK("https://portal.genego.com/cgi/entity_page.cgi?term=100&amp;id=949","eNOS")</f>
        <v>eNOS</v>
      </c>
      <c r="D851" s="19" t="str">
        <f>HYPERLINK("https://portal.genego.com/cgi/entity_page.cgi?term=20&amp;id=-1676228149","NOS3")</f>
        <v>NOS3</v>
      </c>
      <c r="E851" s="8">
        <v>9.1991653878166803E-3</v>
      </c>
      <c r="F851" s="17">
        <v>1</v>
      </c>
    </row>
    <row r="852" spans="1:6" ht="60" customHeight="1" x14ac:dyDescent="0.25">
      <c r="A852" s="27">
        <v>849</v>
      </c>
      <c r="B852" s="28" t="s">
        <v>874</v>
      </c>
      <c r="C852" s="19" t="str">
        <f>HYPERLINK("https://portal.genego.com/cgi/entity_page.cgi?term=100&amp;id=984","gp130")</f>
        <v>gp130</v>
      </c>
      <c r="D852" s="19" t="str">
        <f>HYPERLINK("https://portal.genego.com/cgi/entity_page.cgi?term=20&amp;id=357040898","IL6ST")</f>
        <v>IL6ST</v>
      </c>
      <c r="E852" s="7">
        <v>0.27451838789114003</v>
      </c>
      <c r="F852" s="17">
        <v>0.19179209999999999</v>
      </c>
    </row>
    <row r="853" spans="1:6" ht="60" customHeight="1" x14ac:dyDescent="0.25">
      <c r="A853" s="27">
        <v>850</v>
      </c>
      <c r="B853" s="28" t="s">
        <v>875</v>
      </c>
      <c r="C853" s="19" t="str">
        <f>HYPERLINK("https://portal.genego.com/cgi/entity_page.cgi?term=100&amp;id=9086","hRap1")</f>
        <v>hRap1</v>
      </c>
      <c r="D853" s="19" t="str">
        <f>HYPERLINK("https://portal.genego.com/cgi/entity_page.cgi?term=20&amp;id=54386","TERF2IP")</f>
        <v>TERF2IP</v>
      </c>
      <c r="E853" s="7">
        <v>0.209287541861231</v>
      </c>
      <c r="F853" s="17">
        <v>0.17172799999999999</v>
      </c>
    </row>
    <row r="854" spans="1:6" ht="60" customHeight="1" x14ac:dyDescent="0.25">
      <c r="A854" s="27">
        <v>851</v>
      </c>
      <c r="B854" s="28" t="s">
        <v>876</v>
      </c>
      <c r="C854" s="19" t="str">
        <f>HYPERLINK("https://portal.genego.com/cgi/entity_page.cgi?term=100&amp;id=-1007297826","hnRNP A0")</f>
        <v>hnRNP A0</v>
      </c>
      <c r="D854" s="19" t="str">
        <f>HYPERLINK("https://portal.genego.com/cgi/entity_page.cgi?term=20&amp;id=-379275845","HNRNPA0")</f>
        <v>HNRNPA0</v>
      </c>
      <c r="E854" s="15">
        <v>-0.174613170188473</v>
      </c>
      <c r="F854" s="17">
        <v>0.246535</v>
      </c>
    </row>
    <row r="855" spans="1:6" ht="60" customHeight="1" x14ac:dyDescent="0.25">
      <c r="A855" s="27">
        <v>852</v>
      </c>
      <c r="B855" s="28" t="s">
        <v>877</v>
      </c>
      <c r="C855" s="19" t="str">
        <f>HYPERLINK("https://portal.genego.com/cgi/entity_page.cgi?term=100&amp;id=-924822295","hnRNP A1")</f>
        <v>hnRNP A1</v>
      </c>
      <c r="D855" s="19" t="str">
        <f>HYPERLINK("https://portal.genego.com/cgi/entity_page.cgi?term=20&amp;id=2091006966","HNRNPA1")</f>
        <v>HNRNPA1</v>
      </c>
      <c r="E855" s="14">
        <v>-0.44987153010195602</v>
      </c>
      <c r="F855" s="17">
        <v>9.6757630000000004E-4</v>
      </c>
    </row>
    <row r="856" spans="1:6" ht="60" customHeight="1" x14ac:dyDescent="0.25">
      <c r="A856" s="27">
        <v>853</v>
      </c>
      <c r="B856" s="28" t="s">
        <v>878</v>
      </c>
      <c r="C856" s="19" t="str">
        <f>HYPERLINK("https://portal.genego.com/cgi/entity_page.cgi?term=100&amp;id=-125526193","hnRNP C")</f>
        <v>hnRNP C</v>
      </c>
      <c r="D856" s="19" t="str">
        <f>HYPERLINK("https://portal.genego.com/cgi/entity_page.cgi?term=20&amp;id=1433959379","HNRNPC")</f>
        <v>HNRNPC</v>
      </c>
      <c r="E856" s="13">
        <v>-0.46406747958515798</v>
      </c>
      <c r="F856" s="17">
        <v>5.5505319999999997E-4</v>
      </c>
    </row>
    <row r="857" spans="1:6" ht="60" customHeight="1" x14ac:dyDescent="0.25">
      <c r="A857" s="27">
        <v>854</v>
      </c>
      <c r="B857" s="28" t="s">
        <v>879</v>
      </c>
      <c r="C857" s="19" t="str">
        <f>HYPERLINK("https://portal.genego.com/cgi/entity_page.cgi?term=100&amp;id=2948","hnRNP K")</f>
        <v>hnRNP K</v>
      </c>
      <c r="D857" s="19" t="str">
        <f>HYPERLINK("https://portal.genego.com/cgi/entity_page.cgi?term=20&amp;id=-1157118659","HNRNPK")</f>
        <v>HNRNPK</v>
      </c>
      <c r="E857" s="15">
        <v>-0.107677145647933</v>
      </c>
      <c r="F857" s="17">
        <v>0.47370950000000001</v>
      </c>
    </row>
    <row r="858" spans="1:6" ht="60" customHeight="1" x14ac:dyDescent="0.25">
      <c r="A858" s="27">
        <v>855</v>
      </c>
      <c r="B858" s="28" t="s">
        <v>880</v>
      </c>
      <c r="C858" s="19" t="str">
        <f>HYPERLINK("https://portal.genego.com/cgi/entity_page.cgi?term=100&amp;id=639","mTOR")</f>
        <v>mTOR</v>
      </c>
      <c r="D858" s="19" t="str">
        <f>HYPERLINK("https://portal.genego.com/cgi/entity_page.cgi?term=20&amp;id=-215683289","MTOR")</f>
        <v>MTOR</v>
      </c>
      <c r="E858" s="6">
        <v>0.42610935489879898</v>
      </c>
      <c r="F858" s="17">
        <v>2.1857580000000001E-2</v>
      </c>
    </row>
    <row r="859" spans="1:6" ht="60" customHeight="1" x14ac:dyDescent="0.25">
      <c r="A859" s="27">
        <v>856</v>
      </c>
      <c r="B859" s="28" t="s">
        <v>881</v>
      </c>
      <c r="C859" s="19" t="str">
        <f>HYPERLINK("https://portal.genego.com/cgi/entity_page.cgi?term=100&amp;id=-1944573968","microRNA 21")</f>
        <v>microRNA 21</v>
      </c>
      <c r="D859" s="19" t="str">
        <f>HYPERLINK("https://portal.genego.com/cgi/entity_page.cgi?term=20&amp;id=-1266195460","MIR21")</f>
        <v>MIR21</v>
      </c>
      <c r="E859" s="16">
        <v>-9.8760545465910992E-3</v>
      </c>
      <c r="F859" s="17">
        <v>1</v>
      </c>
    </row>
    <row r="860" spans="1:6" ht="60" customHeight="1" x14ac:dyDescent="0.25">
      <c r="A860" s="27">
        <v>857</v>
      </c>
      <c r="B860" s="28" t="s">
        <v>882</v>
      </c>
      <c r="C860" s="19" t="str">
        <f>HYPERLINK("https://portal.genego.com/cgi/entity_page.cgi?term=100&amp;id=-304274141","nAChR alpha-7")</f>
        <v>nAChR alpha-7</v>
      </c>
      <c r="D860" s="19" t="str">
        <f>HYPERLINK("https://portal.genego.com/cgi/entity_page.cgi?term=20&amp;id=89832","CHRFAM7A")</f>
        <v>CHRFAM7A</v>
      </c>
      <c r="E860" s="8">
        <v>5.8878025717375597E-2</v>
      </c>
      <c r="F860" s="17">
        <v>1</v>
      </c>
    </row>
    <row r="861" spans="1:6" ht="60" customHeight="1" x14ac:dyDescent="0.25">
      <c r="A861" s="27">
        <v>858</v>
      </c>
      <c r="B861" s="28" t="s">
        <v>883</v>
      </c>
      <c r="C861" s="19" t="str">
        <f>HYPERLINK("https://portal.genego.com/cgi/entity_page.cgi?term=100&amp;id=-304274141","nAChR alpha-7")</f>
        <v>nAChR alpha-7</v>
      </c>
      <c r="D861" s="19" t="str">
        <f>HYPERLINK("https://portal.genego.com/cgi/entity_page.cgi?term=20&amp;id=1375258998","CHRNA7")</f>
        <v>CHRNA7</v>
      </c>
      <c r="E861" s="15">
        <v>-0.13342963569880101</v>
      </c>
      <c r="F861" s="17">
        <v>1</v>
      </c>
    </row>
    <row r="862" spans="1:6" ht="60" customHeight="1" x14ac:dyDescent="0.25">
      <c r="A862" s="27">
        <v>859</v>
      </c>
      <c r="B862" s="28" t="s">
        <v>884</v>
      </c>
      <c r="C862" s="19" t="str">
        <f>HYPERLINK("https://portal.genego.com/cgi/entity_page.cgi?term=100&amp;id=2918","p107")</f>
        <v>p107</v>
      </c>
      <c r="D862" s="19" t="str">
        <f>HYPERLINK("https://portal.genego.com/cgi/entity_page.cgi?term=20&amp;id=1691028092","RBL1")</f>
        <v>RBL1</v>
      </c>
      <c r="E862" s="8">
        <v>1.9911275561050702E-2</v>
      </c>
      <c r="F862" s="17">
        <v>0.9184563</v>
      </c>
    </row>
    <row r="863" spans="1:6" ht="60" customHeight="1" x14ac:dyDescent="0.25">
      <c r="A863" s="27">
        <v>860</v>
      </c>
      <c r="B863" s="28" t="s">
        <v>885</v>
      </c>
      <c r="C863" s="19" t="str">
        <f>HYPERLINK("https://portal.genego.com/cgi/entity_page.cgi?term=100&amp;id=2200","p120GAP")</f>
        <v>p120GAP</v>
      </c>
      <c r="D863" s="19" t="str">
        <f>HYPERLINK("https://portal.genego.com/cgi/entity_page.cgi?term=20&amp;id=942836574","RASA1")</f>
        <v>RASA1</v>
      </c>
      <c r="E863" s="8">
        <v>0.10403234056029501</v>
      </c>
      <c r="F863" s="17">
        <v>0.55679190000000001</v>
      </c>
    </row>
    <row r="864" spans="1:6" ht="60" customHeight="1" x14ac:dyDescent="0.25">
      <c r="A864" s="27">
        <v>861</v>
      </c>
      <c r="B864" s="28" t="s">
        <v>886</v>
      </c>
      <c r="C864" s="19" t="str">
        <f>HYPERLINK("https://portal.genego.com/cgi/entity_page.cgi?term=100&amp;id=-1015439151","p130")</f>
        <v>p130</v>
      </c>
      <c r="D864" s="19" t="str">
        <f>HYPERLINK("https://portal.genego.com/cgi/entity_page.cgi?term=20&amp;id=658714014","RBL2")</f>
        <v>RBL2</v>
      </c>
      <c r="E864" s="16">
        <v>-5.9366725922851402E-2</v>
      </c>
      <c r="F864" s="17">
        <v>0.75073120000000004</v>
      </c>
    </row>
    <row r="865" spans="1:6" ht="60" customHeight="1" x14ac:dyDescent="0.25">
      <c r="A865" s="27">
        <v>862</v>
      </c>
      <c r="B865" s="28" t="s">
        <v>887</v>
      </c>
      <c r="C865" s="19" t="str">
        <f>HYPERLINK("https://portal.genego.com/cgi/entity_page.cgi?term=100&amp;id=2168","p130CAS")</f>
        <v>p130CAS</v>
      </c>
      <c r="D865" s="19" t="str">
        <f>HYPERLINK("https://portal.genego.com/cgi/entity_page.cgi?term=20&amp;id=-926154449","BCAR1")</f>
        <v>BCAR1</v>
      </c>
      <c r="E865" s="15">
        <v>-0.24749052929288001</v>
      </c>
      <c r="F865" s="17">
        <v>0.16554199999999999</v>
      </c>
    </row>
    <row r="866" spans="1:6" ht="60" customHeight="1" x14ac:dyDescent="0.25">
      <c r="A866" s="27">
        <v>863</v>
      </c>
      <c r="B866" s="28" t="s">
        <v>888</v>
      </c>
      <c r="C866" s="19" t="str">
        <f>HYPERLINK("https://portal.genego.com/cgi/entity_page.cgi?term=100&amp;id=-694975657","p14ARF")</f>
        <v>p14ARF</v>
      </c>
      <c r="D866" s="19" t="str">
        <f>HYPERLINK("https://portal.genego.com/cgi/entity_page.cgi?term=20&amp;id=1783765658","CDKN2A")</f>
        <v>CDKN2A</v>
      </c>
      <c r="E866" s="15">
        <v>-0.132210521095983</v>
      </c>
      <c r="F866" s="17">
        <v>0.45987630000000002</v>
      </c>
    </row>
    <row r="867" spans="1:6" ht="60" customHeight="1" x14ac:dyDescent="0.25">
      <c r="A867" s="27">
        <v>864</v>
      </c>
      <c r="B867" s="28" t="s">
        <v>889</v>
      </c>
      <c r="C867" s="19" t="str">
        <f>HYPERLINK("https://portal.genego.com/cgi/entity_page.cgi?term=100&amp;id=1061","p15")</f>
        <v>p15</v>
      </c>
      <c r="D867" s="19" t="str">
        <f>HYPERLINK("https://portal.genego.com/cgi/entity_page.cgi?term=20&amp;id=-1730868973","CDKN2B")</f>
        <v>CDKN2B</v>
      </c>
      <c r="E867" s="7">
        <v>0.29352552496030099</v>
      </c>
      <c r="F867" s="17">
        <v>3.401071E-2</v>
      </c>
    </row>
    <row r="868" spans="1:6" ht="60" customHeight="1" x14ac:dyDescent="0.25">
      <c r="A868" s="27">
        <v>865</v>
      </c>
      <c r="B868" s="28" t="s">
        <v>888</v>
      </c>
      <c r="C868" s="19" t="str">
        <f>HYPERLINK("https://portal.genego.com/cgi/entity_page.cgi?term=100&amp;id=1062","p16INK4")</f>
        <v>p16INK4</v>
      </c>
      <c r="D868" s="19" t="str">
        <f>HYPERLINK("https://portal.genego.com/cgi/entity_page.cgi?term=20&amp;id=1783765658","CDKN2A")</f>
        <v>CDKN2A</v>
      </c>
      <c r="E868" s="15">
        <v>-0.132210521095983</v>
      </c>
      <c r="F868" s="17">
        <v>0.45987630000000002</v>
      </c>
    </row>
    <row r="869" spans="1:6" ht="60" customHeight="1" x14ac:dyDescent="0.25">
      <c r="A869" s="27">
        <v>866</v>
      </c>
      <c r="B869" s="28" t="s">
        <v>890</v>
      </c>
      <c r="C869" s="19" t="str">
        <f>HYPERLINK("https://portal.genego.com/cgi/entity_page.cgi?term=100&amp;id=-1391515441","p190RhoGAP")</f>
        <v>p190RhoGAP</v>
      </c>
      <c r="D869" s="19" t="str">
        <f>HYPERLINK("https://portal.genego.com/cgi/entity_page.cgi?term=20&amp;id=-1658733948","ARHGAP35")</f>
        <v>ARHGAP35</v>
      </c>
      <c r="E869" s="8">
        <v>1.89419004121054E-2</v>
      </c>
      <c r="F869" s="17">
        <v>0.9268459</v>
      </c>
    </row>
    <row r="870" spans="1:6" ht="60" customHeight="1" x14ac:dyDescent="0.25">
      <c r="A870" s="27">
        <v>867</v>
      </c>
      <c r="B870" s="28" t="s">
        <v>891</v>
      </c>
      <c r="C870" s="19" t="str">
        <f>HYPERLINK("https://portal.genego.com/cgi/entity_page.cgi?term=100&amp;id=1065","p21")</f>
        <v>p21</v>
      </c>
      <c r="D870" s="19" t="str">
        <f>HYPERLINK("https://portal.genego.com/cgi/entity_page.cgi?term=20&amp;id=-638706686","CDKN1A")</f>
        <v>CDKN1A</v>
      </c>
      <c r="E870" s="8">
        <v>5.5511061907203502E-3</v>
      </c>
      <c r="F870" s="17">
        <v>0.9760375</v>
      </c>
    </row>
    <row r="871" spans="1:6" ht="60" customHeight="1" x14ac:dyDescent="0.25">
      <c r="A871" s="27">
        <v>868</v>
      </c>
      <c r="B871" s="28" t="s">
        <v>892</v>
      </c>
      <c r="C871" s="19" t="str">
        <f>HYPERLINK("https://portal.genego.com/cgi/entity_page.cgi?term=100&amp;id=-1509815739","p23 co-chaperone")</f>
        <v>p23 co-chaperone</v>
      </c>
      <c r="D871" s="19" t="str">
        <f>HYPERLINK("https://portal.genego.com/cgi/entity_page.cgi?term=20&amp;id=-453962118","PTGES3")</f>
        <v>PTGES3</v>
      </c>
      <c r="E871" s="15">
        <v>-0.23324197587411899</v>
      </c>
      <c r="F871" s="17">
        <v>0.13588349999999999</v>
      </c>
    </row>
    <row r="872" spans="1:6" ht="60" customHeight="1" x14ac:dyDescent="0.25">
      <c r="A872" s="27">
        <v>869</v>
      </c>
      <c r="B872" s="28" t="s">
        <v>893</v>
      </c>
      <c r="C872" s="19" t="str">
        <f>HYPERLINK("https://portal.genego.com/cgi/entity_page.cgi?term=100&amp;id=-1890891081","p27KIP1")</f>
        <v>p27KIP1</v>
      </c>
      <c r="D872" s="19" t="str">
        <f>HYPERLINK("https://portal.genego.com/cgi/entity_page.cgi?term=20&amp;id=463363636","CDKN1B")</f>
        <v>CDKN1B</v>
      </c>
      <c r="E872" s="14">
        <v>-0.36673583893988898</v>
      </c>
      <c r="F872" s="17">
        <v>7.0181169999999999E-3</v>
      </c>
    </row>
    <row r="873" spans="1:6" ht="60" customHeight="1" x14ac:dyDescent="0.25">
      <c r="A873" s="27">
        <v>870</v>
      </c>
      <c r="B873" s="28" t="s">
        <v>894</v>
      </c>
      <c r="C873" s="19" t="str">
        <f>HYPERLINK("https://portal.genego.com/cgi/entity_page.cgi?term=100&amp;id=2201","p300")</f>
        <v>p300</v>
      </c>
      <c r="D873" s="19" t="str">
        <f>HYPERLINK("https://portal.genego.com/cgi/entity_page.cgi?term=20&amp;id=-1997457901","EP300")</f>
        <v>EP300</v>
      </c>
      <c r="E873" s="7">
        <v>0.167349120751731</v>
      </c>
      <c r="F873" s="17">
        <v>0.35477500000000001</v>
      </c>
    </row>
    <row r="874" spans="1:6" ht="60" customHeight="1" x14ac:dyDescent="0.25">
      <c r="A874" s="27">
        <v>871</v>
      </c>
      <c r="B874" s="28" t="s">
        <v>895</v>
      </c>
      <c r="C874" s="19" t="str">
        <f>HYPERLINK("https://portal.genego.com/cgi/entity_page.cgi?term=100&amp;id=2394","p38alpha (MAPK14)")</f>
        <v>p38alpha (MAPK14)</v>
      </c>
      <c r="D874" s="19" t="str">
        <f>HYPERLINK("https://portal.genego.com/cgi/entity_page.cgi?term=20&amp;id=-1501035630","MAPK14")</f>
        <v>MAPK14</v>
      </c>
      <c r="E874" s="8">
        <v>4.4647799125170501E-2</v>
      </c>
      <c r="F874" s="17">
        <v>0.81537040000000005</v>
      </c>
    </row>
    <row r="875" spans="1:6" ht="60" customHeight="1" x14ac:dyDescent="0.25">
      <c r="A875" s="27">
        <v>872</v>
      </c>
      <c r="B875" s="28" t="s">
        <v>896</v>
      </c>
      <c r="C875" s="19" t="str">
        <f>HYPERLINK("https://portal.genego.com/cgi/entity_page.cgi?term=100&amp;id=2324","p38gamma (MAPK12)")</f>
        <v>p38gamma (MAPK12)</v>
      </c>
      <c r="D875" s="19" t="str">
        <f>HYPERLINK("https://portal.genego.com/cgi/entity_page.cgi?term=20&amp;id=-322206731","MAPK12")</f>
        <v>MAPK12</v>
      </c>
      <c r="E875" s="15">
        <v>-0.239941539956912</v>
      </c>
      <c r="F875" s="17">
        <v>0.21229490000000001</v>
      </c>
    </row>
    <row r="876" spans="1:6" ht="60" customHeight="1" x14ac:dyDescent="0.25">
      <c r="A876" s="27">
        <v>873</v>
      </c>
      <c r="B876" s="28" t="s">
        <v>897</v>
      </c>
      <c r="C876" s="19" t="str">
        <f>HYPERLINK("https://portal.genego.com/cgi/entity_page.cgi?term=100&amp;id=2111","p47-phox")</f>
        <v>p47-phox</v>
      </c>
      <c r="D876" s="19" t="str">
        <f>HYPERLINK("https://portal.genego.com/cgi/entity_page.cgi?term=20&amp;id=-1613276087","NCF1")</f>
        <v>NCF1</v>
      </c>
      <c r="E876" s="8">
        <v>1.23891399877178E-2</v>
      </c>
      <c r="F876" s="17">
        <v>1</v>
      </c>
    </row>
    <row r="877" spans="1:6" ht="60" customHeight="1" x14ac:dyDescent="0.25">
      <c r="A877" s="27">
        <v>874</v>
      </c>
      <c r="B877" s="28" t="s">
        <v>898</v>
      </c>
      <c r="C877" s="19" t="str">
        <f>HYPERLINK("https://portal.genego.com/cgi/entity_page.cgi?term=100&amp;id=1075","p53")</f>
        <v>p53</v>
      </c>
      <c r="D877" s="19" t="str">
        <f>HYPERLINK("https://portal.genego.com/cgi/entity_page.cgi?term=20&amp;id=482975076","TP53")</f>
        <v>TP53</v>
      </c>
      <c r="E877" s="14">
        <v>-0.357221682882983</v>
      </c>
      <c r="F877" s="17">
        <v>4.7423550000000002E-3</v>
      </c>
    </row>
    <row r="878" spans="1:6" ht="60" customHeight="1" x14ac:dyDescent="0.25">
      <c r="A878" s="27">
        <v>875</v>
      </c>
      <c r="B878" s="28" t="s">
        <v>899</v>
      </c>
      <c r="C878" s="19" t="str">
        <f>HYPERLINK("https://portal.genego.com/cgi/entity_page.cgi?term=100&amp;id=9104","p53BP1")</f>
        <v>p53BP1</v>
      </c>
      <c r="D878" s="19" t="str">
        <f>HYPERLINK("https://portal.genego.com/cgi/entity_page.cgi?term=20&amp;id=1148273873","TP53BP1")</f>
        <v>TP53BP1</v>
      </c>
      <c r="E878" s="8">
        <v>6.2904731202717099E-2</v>
      </c>
      <c r="F878" s="17">
        <v>0.73383379999999998</v>
      </c>
    </row>
    <row r="879" spans="1:6" ht="60" customHeight="1" x14ac:dyDescent="0.25">
      <c r="A879" s="27">
        <v>876</v>
      </c>
      <c r="B879" s="28" t="s">
        <v>900</v>
      </c>
      <c r="C879" s="19" t="str">
        <f>HYPERLINK("https://portal.genego.com/cgi/entity_page.cgi?term=100&amp;id=-1923663997","p63")</f>
        <v>p63</v>
      </c>
      <c r="D879" s="19" t="str">
        <f>HYPERLINK("https://portal.genego.com/cgi/entity_page.cgi?term=20&amp;id=-1322121350","TP63")</f>
        <v>TP63</v>
      </c>
      <c r="E879" s="8">
        <v>3.0645327434648099E-2</v>
      </c>
      <c r="F879" s="17">
        <v>1</v>
      </c>
    </row>
    <row r="880" spans="1:6" ht="60" customHeight="1" x14ac:dyDescent="0.25">
      <c r="A880" s="27">
        <v>877</v>
      </c>
      <c r="B880" s="28" t="s">
        <v>901</v>
      </c>
      <c r="C880" s="19" t="str">
        <f>HYPERLINK("https://portal.genego.com/cgi/entity_page.cgi?term=100&amp;id=2041","p70 S6 kinase1")</f>
        <v>p70 S6 kinase1</v>
      </c>
      <c r="D880" s="19" t="str">
        <f>HYPERLINK("https://portal.genego.com/cgi/entity_page.cgi?term=20&amp;id=-267594819","RPS6KB1")</f>
        <v>RPS6KB1</v>
      </c>
      <c r="E880" s="8">
        <v>0.107861912507674</v>
      </c>
      <c r="F880" s="17">
        <v>0.54414870000000004</v>
      </c>
    </row>
    <row r="881" spans="1:6" ht="60" customHeight="1" x14ac:dyDescent="0.25">
      <c r="A881" s="27">
        <v>878</v>
      </c>
      <c r="B881" s="28" t="s">
        <v>902</v>
      </c>
      <c r="C881" s="19" t="str">
        <f>HYPERLINK("https://portal.genego.com/cgi/entity_page.cgi?term=100&amp;id=2120","p70 S6 kinase2")</f>
        <v>p70 S6 kinase2</v>
      </c>
      <c r="D881" s="19" t="str">
        <f>HYPERLINK("https://portal.genego.com/cgi/entity_page.cgi?term=20&amp;id=-511542312","RPS6KB2")</f>
        <v>RPS6KB2</v>
      </c>
      <c r="E881" s="8">
        <v>4.3705977995329298E-2</v>
      </c>
      <c r="F881" s="17">
        <v>0.82433350000000005</v>
      </c>
    </row>
    <row r="882" spans="1:6" ht="60" customHeight="1" x14ac:dyDescent="0.25">
      <c r="A882" s="27">
        <v>879</v>
      </c>
      <c r="B882" s="28" t="s">
        <v>903</v>
      </c>
      <c r="C882" s="19" t="str">
        <f>HYPERLINK("https://portal.genego.com/cgi/entity_page.cgi?term=100&amp;id=1076","p73")</f>
        <v>p73</v>
      </c>
      <c r="D882" s="19" t="str">
        <f>HYPERLINK("https://portal.genego.com/cgi/entity_page.cgi?term=20&amp;id=-194380466","TP73")</f>
        <v>TP73</v>
      </c>
      <c r="E882" s="16">
        <v>-2.5260005746203899E-3</v>
      </c>
      <c r="F882" s="17">
        <v>1</v>
      </c>
    </row>
    <row r="883" spans="1:6" ht="60" customHeight="1" x14ac:dyDescent="0.25">
      <c r="A883" s="27">
        <v>880</v>
      </c>
      <c r="B883" s="28" t="s">
        <v>904</v>
      </c>
      <c r="C883" s="19" t="str">
        <f>HYPERLINK("https://portal.genego.com/cgi/entity_page.cgi?term=100&amp;id=9065","p90RSK1")</f>
        <v>p90RSK1</v>
      </c>
      <c r="D883" s="19" t="str">
        <f>HYPERLINK("https://portal.genego.com/cgi/entity_page.cgi?term=20&amp;id=434988593","RPS6KA1")</f>
        <v>RPS6KA1</v>
      </c>
      <c r="E883" s="14">
        <v>-0.38421588056554001</v>
      </c>
      <c r="F883" s="17">
        <v>6.4904820000000002E-2</v>
      </c>
    </row>
    <row r="884" spans="1:6" ht="60" customHeight="1" x14ac:dyDescent="0.25">
      <c r="A884" s="27">
        <v>881</v>
      </c>
      <c r="B884" s="28" t="s">
        <v>905</v>
      </c>
      <c r="C884" s="19" t="str">
        <f>HYPERLINK("https://portal.genego.com/cgi/entity_page.cgi?term=100&amp;id=9075","p90RSK2(RPS6KA3)")</f>
        <v>p90RSK2(RPS6KA3)</v>
      </c>
      <c r="D884" s="19" t="str">
        <f>HYPERLINK("https://portal.genego.com/cgi/entity_page.cgi?term=20&amp;id=-1750807343","RPS6KA3")</f>
        <v>RPS6KA3</v>
      </c>
      <c r="E884" s="7">
        <v>0.13632794825790601</v>
      </c>
      <c r="F884" s="17">
        <v>0.45383469999999998</v>
      </c>
    </row>
    <row r="885" spans="1:6" ht="60" customHeight="1" x14ac:dyDescent="0.25">
      <c r="A885" s="27">
        <v>882</v>
      </c>
      <c r="B885" s="28" t="s">
        <v>133</v>
      </c>
      <c r="C885" s="19" t="str">
        <f>HYPERLINK("https://portal.genego.com/cgi/entity_page.cgi?term=100&amp;id=-429333329","tBid")</f>
        <v>tBid</v>
      </c>
      <c r="D885" s="19" t="str">
        <f>HYPERLINK("https://portal.genego.com/cgi/entity_page.cgi?term=20&amp;id=712008859","BID")</f>
        <v>BID</v>
      </c>
      <c r="E885" s="8">
        <v>9.7995726067041794E-2</v>
      </c>
      <c r="F885" s="17">
        <v>0.58252660000000001</v>
      </c>
    </row>
  </sheetData>
  <autoFilter ref="A3:F3"/>
  <mergeCells count="2">
    <mergeCell ref="A2:D2"/>
    <mergeCell ref="E2:F2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90" workbookViewId="0"/>
  </sheetViews>
  <sheetFormatPr defaultRowHeight="15" x14ac:dyDescent="0.25"/>
  <cols>
    <col min="1" max="2" width="19" customWidth="1"/>
    <col min="3" max="4" width="9" customWidth="1"/>
    <col min="5" max="6" width="19" customWidth="1"/>
    <col min="7" max="7" width="9" customWidth="1"/>
  </cols>
  <sheetData>
    <row r="1" spans="1:2" ht="21" customHeight="1" x14ac:dyDescent="0.3">
      <c r="A1" s="20" t="s">
        <v>0</v>
      </c>
    </row>
    <row r="2" spans="1:2" ht="18" customHeight="1" x14ac:dyDescent="0.25">
      <c r="A2" s="21" t="s">
        <v>1</v>
      </c>
    </row>
    <row r="3" spans="1:2" ht="15" customHeight="1" x14ac:dyDescent="0.25">
      <c r="A3" s="22" t="s">
        <v>2</v>
      </c>
      <c r="B3" s="23" t="s">
        <v>3</v>
      </c>
    </row>
    <row r="4" spans="1:2" ht="15" customHeight="1" x14ac:dyDescent="0.25">
      <c r="A4" s="22" t="s">
        <v>4</v>
      </c>
      <c r="B4" s="23" t="s">
        <v>5</v>
      </c>
    </row>
    <row r="5" spans="1:2" ht="15" customHeight="1" x14ac:dyDescent="0.25">
      <c r="A5" s="22" t="s">
        <v>6</v>
      </c>
      <c r="B5" s="23" t="s">
        <v>7</v>
      </c>
    </row>
    <row r="6" spans="1:2" ht="15" customHeight="1" x14ac:dyDescent="0.25">
      <c r="A6" s="22" t="s">
        <v>8</v>
      </c>
      <c r="B6" s="23" t="s">
        <v>9</v>
      </c>
    </row>
    <row r="7" spans="1:2" ht="15" customHeight="1" x14ac:dyDescent="0.25">
      <c r="A7" s="22" t="s">
        <v>10</v>
      </c>
      <c r="B7" s="23" t="s">
        <v>11</v>
      </c>
    </row>
    <row r="9" spans="1:2" ht="18" customHeight="1" x14ac:dyDescent="0.25">
      <c r="A9" s="21" t="s">
        <v>12</v>
      </c>
    </row>
    <row r="10" spans="1:2" ht="15" customHeight="1" x14ac:dyDescent="0.25">
      <c r="A10" s="22" t="s">
        <v>13</v>
      </c>
      <c r="B10" s="23" t="s">
        <v>14</v>
      </c>
    </row>
    <row r="11" spans="1:2" ht="15" customHeight="1" x14ac:dyDescent="0.25">
      <c r="A11" s="22" t="s">
        <v>15</v>
      </c>
      <c r="B11" s="23" t="s">
        <v>16</v>
      </c>
    </row>
    <row r="12" spans="1:2" ht="15" customHeight="1" x14ac:dyDescent="0.25">
      <c r="A12" s="22" t="s">
        <v>17</v>
      </c>
      <c r="B12" s="23" t="s">
        <v>16</v>
      </c>
    </row>
    <row r="13" spans="1:2" ht="15" customHeight="1" x14ac:dyDescent="0.25">
      <c r="A13" s="22" t="s">
        <v>18</v>
      </c>
      <c r="B13" s="23" t="s">
        <v>16</v>
      </c>
    </row>
    <row r="14" spans="1:2" ht="15" customHeight="1" x14ac:dyDescent="0.25">
      <c r="A14" s="22" t="s">
        <v>19</v>
      </c>
      <c r="B14" s="23" t="s">
        <v>16</v>
      </c>
    </row>
    <row r="16" spans="1:2" ht="18" customHeight="1" x14ac:dyDescent="0.25">
      <c r="A16" s="21" t="s">
        <v>20</v>
      </c>
    </row>
    <row r="17" spans="1:7" ht="15" customHeight="1" x14ac:dyDescent="0.25">
      <c r="A17" s="22" t="s">
        <v>21</v>
      </c>
      <c r="B17" s="22" t="s">
        <v>22</v>
      </c>
      <c r="C17" s="22" t="s">
        <v>23</v>
      </c>
      <c r="D17" s="22" t="s">
        <v>24</v>
      </c>
    </row>
    <row r="18" spans="1:7" ht="15" customHeight="1" x14ac:dyDescent="0.25">
      <c r="A18" s="23" t="s">
        <v>27</v>
      </c>
      <c r="B18" s="23" t="s">
        <v>28</v>
      </c>
      <c r="C18" s="23" t="s">
        <v>29</v>
      </c>
      <c r="F18" s="24" t="s">
        <v>25</v>
      </c>
      <c r="G18" s="24">
        <v>0.57999999999999996</v>
      </c>
    </row>
    <row r="19" spans="1:7" ht="15" customHeight="1" x14ac:dyDescent="0.25">
      <c r="F19" s="24" t="s">
        <v>26</v>
      </c>
      <c r="G19" s="24">
        <v>0.05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 Report</vt:lpstr>
      <vt:lpstr>Info</vt:lpstr>
      <vt:lpstr>'List Report'!_FilterDatabase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u0139097</dc:creator>
  <cp:lastModifiedBy>Charlie</cp:lastModifiedBy>
  <dcterms:created xsi:type="dcterms:W3CDTF">2015-03-10T11:08:29Z</dcterms:created>
  <dcterms:modified xsi:type="dcterms:W3CDTF">2021-01-15T13:37:07Z</dcterms:modified>
</cp:coreProperties>
</file>