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ie\ABRF_GBIRG_OntologyStudy\CellCycle_Analysis\"/>
    </mc:Choice>
  </mc:AlternateContent>
  <xr:revisionPtr revIDLastSave="0" documentId="13_ncr:40009_{4F9FD29E-EA9D-4D6C-8D37-831F33668D76}" xr6:coauthVersionLast="36" xr6:coauthVersionMax="36" xr10:uidLastSave="{00000000-0000-0000-0000-000000000000}"/>
  <bookViews>
    <workbookView xWindow="120" yWindow="120" windowWidth="23895" windowHeight="14310"/>
  </bookViews>
  <sheets>
    <sheet name="List Report" sheetId="1" r:id="rId1"/>
    <sheet name="Info" sheetId="2" r:id="rId2"/>
  </sheets>
  <definedNames>
    <definedName name="_xlnm._FilterDatabase" localSheetId="0">'List Report'!$A$3:$G$3</definedName>
  </definedNames>
  <calcPr calcId="191029"/>
</workbook>
</file>

<file path=xl/calcChain.xml><?xml version="1.0" encoding="utf-8"?>
<calcChain xmlns="http://schemas.openxmlformats.org/spreadsheetml/2006/main">
  <c r="C4" i="1" l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</calcChain>
</file>

<file path=xl/sharedStrings.xml><?xml version="1.0" encoding="utf-8"?>
<sst xmlns="http://schemas.openxmlformats.org/spreadsheetml/2006/main" count="139" uniqueCount="134">
  <si>
    <t>Info</t>
  </si>
  <si>
    <t>General</t>
  </si>
  <si>
    <t>Date</t>
  </si>
  <si>
    <t>2021.01.15</t>
  </si>
  <si>
    <t>Server</t>
  </si>
  <si>
    <t>https://portal.genego.com</t>
  </si>
  <si>
    <t>Version</t>
  </si>
  <si>
    <t>MetaCore+MetaDrug® version 20.4 build 70300.</t>
  </si>
  <si>
    <t>Name</t>
  </si>
  <si>
    <t>Charlie</t>
  </si>
  <si>
    <t>Login</t>
  </si>
  <si>
    <t>charliew</t>
  </si>
  <si>
    <t>Export Settings</t>
  </si>
  <si>
    <t>Homo sapiens</t>
  </si>
  <si>
    <t>Yes</t>
  </si>
  <si>
    <t>Mus musculus</t>
  </si>
  <si>
    <t>No</t>
  </si>
  <si>
    <t>Rattus norvegicus</t>
  </si>
  <si>
    <t>Ortholog</t>
  </si>
  <si>
    <t>With active data only</t>
  </si>
  <si>
    <t>Active Data</t>
  </si>
  <si>
    <t>Names</t>
  </si>
  <si>
    <t>Type</t>
  </si>
  <si>
    <t>Size</t>
  </si>
  <si>
    <t>Assembly</t>
  </si>
  <si>
    <t>Threshold</t>
  </si>
  <si>
    <t>P-value</t>
  </si>
  <si>
    <t>GSE83647_G1vRev</t>
  </si>
  <si>
    <t>General Experiment</t>
  </si>
  <si>
    <t>16814</t>
  </si>
  <si>
    <t>List Report</t>
  </si>
  <si>
    <t>MetaCore Data</t>
  </si>
  <si>
    <t>#</t>
  </si>
  <si>
    <t>Input IDs</t>
  </si>
  <si>
    <t>Network Object Name</t>
  </si>
  <si>
    <t>Gene Symbol</t>
  </si>
  <si>
    <t>Unit (protein or chem)</t>
  </si>
  <si>
    <t>AKAP8</t>
  </si>
  <si>
    <t>Signal</t>
  </si>
  <si>
    <t>p-value</t>
  </si>
  <si>
    <t>DBF4</t>
  </si>
  <si>
    <t>AURKA</t>
  </si>
  <si>
    <t>AURKB</t>
  </si>
  <si>
    <t>AURKC</t>
  </si>
  <si>
    <t>BUB1</t>
  </si>
  <si>
    <t>BUB3</t>
  </si>
  <si>
    <t>BUB1B</t>
  </si>
  <si>
    <t>SMC4</t>
  </si>
  <si>
    <t>SMC2</t>
  </si>
  <si>
    <t>NCAPG</t>
  </si>
  <si>
    <t>CDC14A</t>
  </si>
  <si>
    <t>CDC6</t>
  </si>
  <si>
    <t>CDC20</t>
  </si>
  <si>
    <t>CDC25A</t>
  </si>
  <si>
    <t>CDC25B</t>
  </si>
  <si>
    <t>CDC25C</t>
  </si>
  <si>
    <t>CDC45</t>
  </si>
  <si>
    <t>CDC7</t>
  </si>
  <si>
    <t>FZR1</t>
  </si>
  <si>
    <t>CDK1</t>
  </si>
  <si>
    <t>CDK2</t>
  </si>
  <si>
    <t>CDK4</t>
  </si>
  <si>
    <t>CDK6</t>
  </si>
  <si>
    <t>CDK7</t>
  </si>
  <si>
    <t>CENPA</t>
  </si>
  <si>
    <t>CENPE</t>
  </si>
  <si>
    <t>CENPH</t>
  </si>
  <si>
    <t>CKS2</t>
  </si>
  <si>
    <t>CDT1</t>
  </si>
  <si>
    <t>CCNB1</t>
  </si>
  <si>
    <t>CCNB2</t>
  </si>
  <si>
    <t>CCNB3</t>
  </si>
  <si>
    <t>CCND1</t>
  </si>
  <si>
    <t>CCND3</t>
  </si>
  <si>
    <t>CCNE1</t>
  </si>
  <si>
    <t>CCNE2</t>
  </si>
  <si>
    <t>CCNH</t>
  </si>
  <si>
    <t>LIG1</t>
  </si>
  <si>
    <t>TFDP1</t>
  </si>
  <si>
    <t>E2F1</t>
  </si>
  <si>
    <t>E2F2</t>
  </si>
  <si>
    <t>E2F3</t>
  </si>
  <si>
    <t>E2F4</t>
  </si>
  <si>
    <t>E2F5</t>
  </si>
  <si>
    <t>FBXO5</t>
  </si>
  <si>
    <t>FEN1</t>
  </si>
  <si>
    <t>NDC80</t>
  </si>
  <si>
    <t>CBX5</t>
  </si>
  <si>
    <t>INCENP</t>
  </si>
  <si>
    <t>KIF22</t>
  </si>
  <si>
    <t>PKMYT1</t>
  </si>
  <si>
    <t>MAD1L1</t>
  </si>
  <si>
    <t>MAD2L1</t>
  </si>
  <si>
    <t>MAD2L2</t>
  </si>
  <si>
    <t>MNAT1</t>
  </si>
  <si>
    <t>MCM10</t>
  </si>
  <si>
    <t>MCM2</t>
  </si>
  <si>
    <t>MCM3</t>
  </si>
  <si>
    <t>MCM4</t>
  </si>
  <si>
    <t>MCM5</t>
  </si>
  <si>
    <t>MCM6</t>
  </si>
  <si>
    <t>MCM7</t>
  </si>
  <si>
    <t>MCM8</t>
  </si>
  <si>
    <t>NEK2</t>
  </si>
  <si>
    <t>NEK8</t>
  </si>
  <si>
    <t>ORC1</t>
  </si>
  <si>
    <t>ORC2</t>
  </si>
  <si>
    <t>ORC3</t>
  </si>
  <si>
    <t>ORC4</t>
  </si>
  <si>
    <t>ORC5</t>
  </si>
  <si>
    <t>ORC6</t>
  </si>
  <si>
    <t>PLK1</t>
  </si>
  <si>
    <t>RPA1</t>
  </si>
  <si>
    <t>RPA2</t>
  </si>
  <si>
    <t>RPA3</t>
  </si>
  <si>
    <t>RB1</t>
  </si>
  <si>
    <t>KNTC1</t>
  </si>
  <si>
    <t>PTTG1</t>
  </si>
  <si>
    <t>ESPL1</t>
  </si>
  <si>
    <t>BIRC5</t>
  </si>
  <si>
    <t>TOP1</t>
  </si>
  <si>
    <t>WRN</t>
  </si>
  <si>
    <t>WEE1</t>
  </si>
  <si>
    <t>ZW10</t>
  </si>
  <si>
    <t>ZWILCH</t>
  </si>
  <si>
    <t>RBL1</t>
  </si>
  <si>
    <t>RBL2</t>
  </si>
  <si>
    <t>CDKN2A</t>
  </si>
  <si>
    <t>CDKN2B</t>
  </si>
  <si>
    <t>CDKN2C</t>
  </si>
  <si>
    <t>CDKN2D</t>
  </si>
  <si>
    <t>CDKN1A</t>
  </si>
  <si>
    <t>CDKN1B</t>
  </si>
  <si>
    <t>CDKN1C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</si>
</sst>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204"/>
      <scheme val="minor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9"/>
      <name val="Arial"/>
    </font>
    <font>
      <b/>
      <sz val="10"/>
      <color indexed="8"/>
      <name val="Arial"/>
    </font>
    <font>
      <sz val="10"/>
      <color indexed="8"/>
      <name val="Arial"/>
    </font>
    <font>
      <u/>
      <sz val="10"/>
      <color indexed="12"/>
      <name val="Arial"/>
    </font>
    <font>
      <b/>
      <sz val="10"/>
      <color indexed="8"/>
      <name val="Arial"/>
    </font>
    <font>
      <b/>
      <sz val="12"/>
      <color indexed="9"/>
      <name val="Arial"/>
    </font>
    <font>
      <sz val="16"/>
      <color indexed="8"/>
      <name val="Arial"/>
    </font>
    <font>
      <sz val="14"/>
      <color indexed="8"/>
      <name val="Arial"/>
    </font>
    <font>
      <b/>
      <sz val="11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6"/>
      <color indexed="8"/>
      <name val="Arial"/>
    </font>
    <font>
      <b/>
      <sz val="14"/>
      <color indexed="9"/>
      <name val="Arial"/>
    </font>
  </fonts>
  <fills count="21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</fills>
  <borders count="6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1" xfId="0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horizontal="right" vertical="top" wrapText="1"/>
    </xf>
    <xf numFmtId="0" fontId="1" fillId="5" borderId="1" xfId="0" applyFont="1" applyFill="1" applyBorder="1" applyAlignment="1">
      <alignment horizontal="right" vertical="top" wrapText="1"/>
    </xf>
    <xf numFmtId="0" fontId="2" fillId="6" borderId="1" xfId="0" applyFont="1" applyFill="1" applyBorder="1" applyAlignment="1">
      <alignment horizontal="right" vertical="top" wrapText="1"/>
    </xf>
    <xf numFmtId="0" fontId="2" fillId="7" borderId="1" xfId="0" applyFont="1" applyFill="1" applyBorder="1" applyAlignment="1">
      <alignment horizontal="right" vertical="top" wrapText="1"/>
    </xf>
    <xf numFmtId="0" fontId="2" fillId="8" borderId="1" xfId="0" applyFont="1" applyFill="1" applyBorder="1" applyAlignment="1">
      <alignment horizontal="right" vertical="top" wrapText="1"/>
    </xf>
    <xf numFmtId="0" fontId="2" fillId="9" borderId="1" xfId="0" applyFont="1" applyFill="1" applyBorder="1" applyAlignment="1">
      <alignment horizontal="right" vertical="top" wrapText="1"/>
    </xf>
    <xf numFmtId="0" fontId="1" fillId="10" borderId="1" xfId="0" applyFont="1" applyFill="1" applyBorder="1" applyAlignment="1">
      <alignment horizontal="right" vertical="top" wrapText="1"/>
    </xf>
    <xf numFmtId="0" fontId="1" fillId="11" borderId="1" xfId="0" applyFont="1" applyFill="1" applyBorder="1" applyAlignment="1">
      <alignment horizontal="right" vertical="top" wrapText="1"/>
    </xf>
    <xf numFmtId="0" fontId="1" fillId="12" borderId="1" xfId="0" applyFont="1" applyFill="1" applyBorder="1" applyAlignment="1">
      <alignment horizontal="right" vertical="top" wrapText="1"/>
    </xf>
    <xf numFmtId="0" fontId="1" fillId="13" borderId="1" xfId="0" applyFont="1" applyFill="1" applyBorder="1" applyAlignment="1">
      <alignment horizontal="right" vertical="top" wrapText="1"/>
    </xf>
    <xf numFmtId="0" fontId="2" fillId="14" borderId="1" xfId="0" applyFont="1" applyFill="1" applyBorder="1" applyAlignment="1">
      <alignment horizontal="right" vertical="top" wrapText="1"/>
    </xf>
    <xf numFmtId="0" fontId="2" fillId="15" borderId="1" xfId="0" applyFont="1" applyFill="1" applyBorder="1" applyAlignment="1">
      <alignment horizontal="right" vertical="top" wrapText="1"/>
    </xf>
    <xf numFmtId="0" fontId="2" fillId="16" borderId="1" xfId="0" applyFont="1" applyFill="1" applyBorder="1" applyAlignment="1">
      <alignment horizontal="right" vertical="top" wrapText="1"/>
    </xf>
    <xf numFmtId="0" fontId="2" fillId="17" borderId="1" xfId="0" applyFont="1" applyFill="1" applyBorder="1" applyAlignment="1">
      <alignment horizontal="right" vertical="top" wrapText="1"/>
    </xf>
    <xf numFmtId="0" fontId="6" fillId="0" borderId="2" xfId="0" applyFont="1" applyBorder="1" applyAlignment="1">
      <alignment horizontal="right" vertical="top" wrapText="1"/>
    </xf>
    <xf numFmtId="0" fontId="7" fillId="0" borderId="4" xfId="0" applyFont="1" applyBorder="1" applyAlignment="1">
      <alignment vertical="top" wrapText="1"/>
    </xf>
    <xf numFmtId="0" fontId="10" fillId="0" borderId="0" xfId="0" applyFont="1" applyAlignment="1"/>
    <xf numFmtId="0" fontId="11" fillId="0" borderId="0" xfId="0" applyFont="1" applyAlignment="1"/>
    <xf numFmtId="0" fontId="12" fillId="0" borderId="4" xfId="0" applyFont="1" applyBorder="1" applyAlignment="1"/>
    <xf numFmtId="0" fontId="13" fillId="0" borderId="4" xfId="0" applyFont="1" applyBorder="1" applyAlignment="1"/>
    <xf numFmtId="0" fontId="14" fillId="0" borderId="0" xfId="0" applyFont="1" applyAlignment="1">
      <alignment horizontal="left"/>
    </xf>
    <xf numFmtId="0" fontId="15" fillId="0" borderId="0" xfId="0" applyFont="1" applyAlignment="1"/>
    <xf numFmtId="0" fontId="4" fillId="20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6" fillId="19" borderId="3" xfId="0" applyFont="1" applyFill="1" applyBorder="1" applyAlignment="1"/>
    <xf numFmtId="0" fontId="9" fillId="18" borderId="3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B050"/>
      <rgbColor rgb="00000080"/>
      <rgbColor rgb="00808000"/>
      <rgbColor rgb="00538ED5"/>
      <rgbColor rgb="00F79646"/>
      <rgbColor rgb="00C0C0C0"/>
      <rgbColor rgb="005A5A5A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E0E0FF"/>
      <rgbColor rgb="00C0C0FF"/>
      <rgbColor rgb="00A0A0FF"/>
      <rgbColor rgb="008080FF"/>
      <rgbColor rgb="006060FF"/>
      <rgbColor rgb="004040FF"/>
      <rgbColor rgb="002020FF"/>
      <rgbColor rgb="000000FF"/>
      <rgbColor rgb="00FFE0E0"/>
      <rgbColor rgb="00FFC0C0"/>
      <rgbColor rgb="00FFA0A0"/>
      <rgbColor rgb="00FF8080"/>
      <rgbColor rgb="00FF6060"/>
      <rgbColor rgb="00FF4040"/>
      <rgbColor rgb="00FF2020"/>
      <rgbColor rgb="00FF0000"/>
      <rgbColor rgb="00969696"/>
      <rgbColor rgb="00FF99CC"/>
      <rgbColor rgb="00808000"/>
      <rgbColor rgb="0033CCCC"/>
      <rgbColor rgb="0099CC00"/>
      <rgbColor rgb="00CC99FF"/>
      <rgbColor rgb="00FFFF99"/>
      <rgbColor rgb="00CCFFCC"/>
      <rgbColor rgb="00C0C0C0"/>
      <rgbColor rgb="0099CCFF"/>
      <rgbColor rgb="00FFCC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zoomScale="90" workbookViewId="0">
      <pane xSplit="3" ySplit="3" topLeftCell="D70" activePane="bottomRight" state="frozen"/>
      <selection pane="topRight"/>
      <selection pane="bottomLeft"/>
      <selection pane="bottomRight" activeCell="B3" sqref="B3"/>
    </sheetView>
  </sheetViews>
  <sheetFormatPr defaultRowHeight="15" x14ac:dyDescent="0.25"/>
  <cols>
    <col min="1" max="1" width="7" customWidth="1"/>
    <col min="2" max="5" width="14" customWidth="1"/>
    <col min="6" max="7" width="10" customWidth="1"/>
  </cols>
  <sheetData>
    <row r="1" spans="1:7" ht="21" customHeight="1" x14ac:dyDescent="0.3">
      <c r="A1" s="23" t="s">
        <v>30</v>
      </c>
    </row>
    <row r="2" spans="1:7" ht="29.45" customHeight="1" x14ac:dyDescent="0.25">
      <c r="A2" s="29" t="s">
        <v>31</v>
      </c>
      <c r="B2" s="29"/>
      <c r="C2" s="29"/>
      <c r="D2" s="29"/>
      <c r="E2" s="29"/>
      <c r="F2" s="30" t="s">
        <v>27</v>
      </c>
      <c r="G2" s="30"/>
    </row>
    <row r="3" spans="1:7" ht="37.5" customHeight="1" x14ac:dyDescent="0.25">
      <c r="A3" s="24" t="s">
        <v>32</v>
      </c>
      <c r="B3" s="24" t="s">
        <v>33</v>
      </c>
      <c r="C3" s="24" t="s">
        <v>34</v>
      </c>
      <c r="D3" s="24" t="s">
        <v>35</v>
      </c>
      <c r="E3" s="24" t="s">
        <v>36</v>
      </c>
      <c r="F3" s="27" t="s">
        <v>38</v>
      </c>
      <c r="G3" s="28" t="s">
        <v>39</v>
      </c>
    </row>
    <row r="4" spans="1:7" ht="60" customHeight="1" x14ac:dyDescent="0.25">
      <c r="A4" s="25">
        <v>1</v>
      </c>
      <c r="B4" s="26" t="s">
        <v>37</v>
      </c>
      <c r="C4" s="17" t="str">
        <f>HYPERLINK("https://portal.genego.com/cgi/entity_page.cgi?term=100&amp;id=-1715449495","AKAP8")</f>
        <v>AKAP8</v>
      </c>
      <c r="D4" s="17" t="str">
        <f>HYPERLINK("https://portal.genego.com/cgi/entity_page.cgi?term=20&amp;id=42587787","AKAP8")</f>
        <v>AKAP8</v>
      </c>
      <c r="E4" s="17" t="str">
        <f>HYPERLINK("https://portal.genego.com/cgi/entity_page.cgi?term=7&amp;id=-2069047459","AKAP8_HUMAN")</f>
        <v>AKAP8_HUMAN</v>
      </c>
      <c r="F4" s="15">
        <v>-3.9481938514366897E-2</v>
      </c>
      <c r="G4" s="16">
        <v>0.83686380000000005</v>
      </c>
    </row>
    <row r="5" spans="1:7" ht="60" customHeight="1" x14ac:dyDescent="0.25">
      <c r="A5" s="25">
        <v>2</v>
      </c>
      <c r="B5" s="26" t="s">
        <v>40</v>
      </c>
      <c r="C5" s="17" t="str">
        <f>HYPERLINK("https://portal.genego.com/cgi/entity_page.cgi?term=100&amp;id=-2095166900","ASK (Dbf4)")</f>
        <v>ASK (Dbf4)</v>
      </c>
      <c r="D5" s="17" t="str">
        <f>HYPERLINK("https://portal.genego.com/cgi/entity_page.cgi?term=20&amp;id=1632653057","DBF4")</f>
        <v>DBF4</v>
      </c>
      <c r="E5" s="17" t="str">
        <f>HYPERLINK("https://portal.genego.com/cgi/entity_page.cgi?term=7&amp;id=-832175671","DBF4A_HUMAN")</f>
        <v>DBF4A_HUMAN</v>
      </c>
      <c r="F5" s="13">
        <v>-0.32014250101235497</v>
      </c>
      <c r="G5" s="16">
        <v>0.10707179999999999</v>
      </c>
    </row>
    <row r="6" spans="1:7" ht="60" customHeight="1" x14ac:dyDescent="0.25">
      <c r="A6" s="25">
        <v>3</v>
      </c>
      <c r="B6" s="26" t="s">
        <v>41</v>
      </c>
      <c r="C6" s="17" t="str">
        <f>HYPERLINK("https://portal.genego.com/cgi/entity_page.cgi?term=100&amp;id=-2076917160","Aurora-A")</f>
        <v>Aurora-A</v>
      </c>
      <c r="D6" s="17" t="str">
        <f>HYPERLINK("https://portal.genego.com/cgi/entity_page.cgi?term=20&amp;id=806032338","AURKA")</f>
        <v>AURKA</v>
      </c>
      <c r="E6" s="17" t="str">
        <f>HYPERLINK("https://portal.genego.com/cgi/entity_page.cgi?term=7&amp;id=1007683","AURKA_HUMAN")</f>
        <v>AURKA_HUMAN</v>
      </c>
      <c r="F6" s="14">
        <v>-8.9770022415008699E-2</v>
      </c>
      <c r="G6" s="16">
        <v>0.59324569999999999</v>
      </c>
    </row>
    <row r="7" spans="1:7" ht="60" customHeight="1" x14ac:dyDescent="0.25">
      <c r="A7" s="25">
        <v>4</v>
      </c>
      <c r="B7" s="26" t="s">
        <v>42</v>
      </c>
      <c r="C7" s="17" t="str">
        <f>HYPERLINK("https://portal.genego.com/cgi/entity_page.cgi?term=100&amp;id=-624614447","Aurora-B")</f>
        <v>Aurora-B</v>
      </c>
      <c r="D7" s="17" t="str">
        <f>HYPERLINK("https://portal.genego.com/cgi/entity_page.cgi?term=20&amp;id=-1741993530","AURKB")</f>
        <v>AURKB</v>
      </c>
      <c r="E7" s="17" t="str">
        <f>HYPERLINK("https://portal.genego.com/cgi/entity_page.cgi?term=7&amp;id=1007687","AURKB_HUMAN")</f>
        <v>AURKB_HUMAN</v>
      </c>
      <c r="F7" s="9">
        <v>-0.95413068131313095</v>
      </c>
      <c r="G7" s="16">
        <v>2.9715700000000001E-5</v>
      </c>
    </row>
    <row r="8" spans="1:7" ht="60" customHeight="1" x14ac:dyDescent="0.25">
      <c r="A8" s="25">
        <v>5</v>
      </c>
      <c r="B8" s="26" t="s">
        <v>43</v>
      </c>
      <c r="C8" s="17" t="str">
        <f>HYPERLINK("https://portal.genego.com/cgi/entity_page.cgi?term=100&amp;id=-1135406019","Aurora-C")</f>
        <v>Aurora-C</v>
      </c>
      <c r="D8" s="17" t="str">
        <f>HYPERLINK("https://portal.genego.com/cgi/entity_page.cgi?term=20&amp;id=477660734","AURKC")</f>
        <v>AURKC</v>
      </c>
      <c r="E8" s="17" t="str">
        <f>HYPERLINK("https://portal.genego.com/cgi/entity_page.cgi?term=7&amp;id=1007688","AURKC_HUMAN")</f>
        <v>AURKC_HUMAN</v>
      </c>
      <c r="F8" s="15">
        <v>-1.15934328198554E-2</v>
      </c>
      <c r="G8" s="16">
        <v>1</v>
      </c>
    </row>
    <row r="9" spans="1:7" ht="60" customHeight="1" x14ac:dyDescent="0.25">
      <c r="A9" s="25">
        <v>6</v>
      </c>
      <c r="B9" s="26" t="s">
        <v>44</v>
      </c>
      <c r="C9" s="17" t="str">
        <f>HYPERLINK("https://portal.genego.com/cgi/entity_page.cgi?term=100&amp;id=-1514615890","BUB1")</f>
        <v>BUB1</v>
      </c>
      <c r="D9" s="17" t="str">
        <f>HYPERLINK("https://portal.genego.com/cgi/entity_page.cgi?term=20&amp;id=491107732","BUB1")</f>
        <v>BUB1</v>
      </c>
      <c r="E9" s="17" t="str">
        <f>HYPERLINK("https://portal.genego.com/cgi/entity_page.cgi?term=7&amp;id=408397806","BUB1_HUMAN")</f>
        <v>BUB1_HUMAN</v>
      </c>
      <c r="F9" s="12">
        <v>-0.44014030905553297</v>
      </c>
      <c r="G9" s="16">
        <v>1.304259E-2</v>
      </c>
    </row>
    <row r="10" spans="1:7" ht="60" customHeight="1" x14ac:dyDescent="0.25">
      <c r="A10" s="25">
        <v>7</v>
      </c>
      <c r="B10" s="26" t="s">
        <v>45</v>
      </c>
      <c r="C10" s="17" t="str">
        <f>HYPERLINK("https://portal.genego.com/cgi/entity_page.cgi?term=100&amp;id=-901587225","BUB3")</f>
        <v>BUB3</v>
      </c>
      <c r="D10" s="17" t="str">
        <f>HYPERLINK("https://portal.genego.com/cgi/entity_page.cgi?term=20&amp;id=-44710088","BUB3")</f>
        <v>BUB3</v>
      </c>
      <c r="E10" s="17" t="str">
        <f>HYPERLINK("https://portal.genego.com/cgi/entity_page.cgi?term=7&amp;id=-1098958606","BUB3_HUMAN")</f>
        <v>BUB3_HUMAN</v>
      </c>
      <c r="F10" s="7">
        <v>2.5837524741559401E-2</v>
      </c>
      <c r="G10" s="16">
        <v>0.89059370000000004</v>
      </c>
    </row>
    <row r="11" spans="1:7" ht="60" customHeight="1" x14ac:dyDescent="0.25">
      <c r="A11" s="25">
        <v>8</v>
      </c>
      <c r="B11" s="26" t="s">
        <v>46</v>
      </c>
      <c r="C11" s="17" t="str">
        <f>HYPERLINK("https://portal.genego.com/cgi/entity_page.cgi?term=100&amp;id=-1727344904","BUBR1")</f>
        <v>BUBR1</v>
      </c>
      <c r="D11" s="17" t="str">
        <f>HYPERLINK("https://portal.genego.com/cgi/entity_page.cgi?term=20&amp;id=-1763244526","BUB1B")</f>
        <v>BUB1B</v>
      </c>
      <c r="E11" s="17" t="str">
        <f>HYPERLINK("https://portal.genego.com/cgi/entity_page.cgi?term=7&amp;id=-1472190550","BUB1B_HUMAN")</f>
        <v>BUB1B_HUMAN</v>
      </c>
      <c r="F11" s="13">
        <v>-0.32102080071398598</v>
      </c>
      <c r="G11" s="16">
        <v>4.8399150000000002E-2</v>
      </c>
    </row>
    <row r="12" spans="1:7" ht="60" customHeight="1" x14ac:dyDescent="0.25">
      <c r="A12" s="25">
        <v>9</v>
      </c>
      <c r="B12" s="26" t="s">
        <v>47</v>
      </c>
      <c r="C12" s="17" t="str">
        <f>HYPERLINK("https://portal.genego.com/cgi/entity_page.cgi?term=100&amp;id=-751068013","CAP-C")</f>
        <v>CAP-C</v>
      </c>
      <c r="D12" s="17" t="str">
        <f>HYPERLINK("https://portal.genego.com/cgi/entity_page.cgi?term=20&amp;id=10051","SMC4")</f>
        <v>SMC4</v>
      </c>
      <c r="E12" s="17" t="str">
        <f>HYPERLINK("https://portal.genego.com/cgi/entity_page.cgi?term=7&amp;id=1013000","SMC4_HUMAN")</f>
        <v>SMC4_HUMAN</v>
      </c>
      <c r="F12" s="12">
        <v>-0.459845238288144</v>
      </c>
      <c r="G12" s="16">
        <v>3.0430619999999999E-2</v>
      </c>
    </row>
    <row r="13" spans="1:7" ht="60" customHeight="1" x14ac:dyDescent="0.25">
      <c r="A13" s="25">
        <v>10</v>
      </c>
      <c r="B13" s="26" t="s">
        <v>48</v>
      </c>
      <c r="C13" s="17" t="str">
        <f>HYPERLINK("https://portal.genego.com/cgi/entity_page.cgi?term=100&amp;id=-1358702252","CAP-E")</f>
        <v>CAP-E</v>
      </c>
      <c r="D13" s="17" t="str">
        <f>HYPERLINK("https://portal.genego.com/cgi/entity_page.cgi?term=20&amp;id=10592","SMC2")</f>
        <v>SMC2</v>
      </c>
      <c r="E13" s="17" t="str">
        <f>HYPERLINK("https://portal.genego.com/cgi/entity_page.cgi?term=7&amp;id=1026006","SMC2_HUMAN")</f>
        <v>SMC2_HUMAN</v>
      </c>
      <c r="F13" s="5">
        <v>0.19703160184447299</v>
      </c>
      <c r="G13" s="16">
        <v>0.2890316</v>
      </c>
    </row>
    <row r="14" spans="1:7" ht="60" customHeight="1" x14ac:dyDescent="0.25">
      <c r="A14" s="25">
        <v>11</v>
      </c>
      <c r="B14" s="26" t="s">
        <v>49</v>
      </c>
      <c r="C14" s="17" t="str">
        <f>HYPERLINK("https://portal.genego.com/cgi/entity_page.cgi?term=100&amp;id=-1320373408","CAP-G")</f>
        <v>CAP-G</v>
      </c>
      <c r="D14" s="17" t="str">
        <f>HYPERLINK("https://portal.genego.com/cgi/entity_page.cgi?term=20&amp;id=807936795","NCAPG")</f>
        <v>NCAPG</v>
      </c>
      <c r="E14" s="17" t="str">
        <f>HYPERLINK("https://portal.genego.com/cgi/entity_page.cgi?term=7&amp;id=1022713","CND3_HUMAN")</f>
        <v>CND3_HUMAN</v>
      </c>
      <c r="F14" s="13">
        <v>-0.41983887365726302</v>
      </c>
      <c r="G14" s="16">
        <v>1.094209E-2</v>
      </c>
    </row>
    <row r="15" spans="1:7" ht="60" customHeight="1" x14ac:dyDescent="0.25">
      <c r="A15" s="25">
        <v>12</v>
      </c>
      <c r="B15" s="26" t="s">
        <v>50</v>
      </c>
      <c r="C15" s="17" t="str">
        <f>HYPERLINK("https://portal.genego.com/cgi/entity_page.cgi?term=100&amp;id=-1275526986","CDC14a")</f>
        <v>CDC14a</v>
      </c>
      <c r="D15" s="17" t="str">
        <f>HYPERLINK("https://portal.genego.com/cgi/entity_page.cgi?term=20&amp;id=1657892599","CDC14A")</f>
        <v>CDC14A</v>
      </c>
      <c r="E15" s="17" t="str">
        <f>HYPERLINK("https://portal.genego.com/cgi/entity_page.cgi?term=7&amp;id=1028172","CC14A_HUMAN")</f>
        <v>CC14A_HUMAN</v>
      </c>
      <c r="F15" s="5">
        <v>0.17013117103377801</v>
      </c>
      <c r="G15" s="16">
        <v>0.3397193</v>
      </c>
    </row>
    <row r="16" spans="1:7" ht="60" customHeight="1" x14ac:dyDescent="0.25">
      <c r="A16" s="25">
        <v>13</v>
      </c>
      <c r="B16" s="26" t="s">
        <v>51</v>
      </c>
      <c r="C16" s="17" t="str">
        <f>HYPERLINK("https://portal.genego.com/cgi/entity_page.cgi?term=100&amp;id=-232249755","CDC18L (CDC6)")</f>
        <v>CDC18L (CDC6)</v>
      </c>
      <c r="D16" s="17" t="str">
        <f>HYPERLINK("https://portal.genego.com/cgi/entity_page.cgi?term=20&amp;id=-567007731","CDC6")</f>
        <v>CDC6</v>
      </c>
      <c r="E16" s="17" t="str">
        <f>HYPERLINK("https://portal.genego.com/cgi/entity_page.cgi?term=7&amp;id=1019556","CDC6_HUMAN")</f>
        <v>CDC6_HUMAN</v>
      </c>
      <c r="F16" s="7">
        <v>1.53867888142182E-3</v>
      </c>
      <c r="G16" s="16">
        <v>0.99374209999999996</v>
      </c>
    </row>
    <row r="17" spans="1:7" ht="60" customHeight="1" x14ac:dyDescent="0.25">
      <c r="A17" s="25">
        <v>14</v>
      </c>
      <c r="B17" s="26" t="s">
        <v>52</v>
      </c>
      <c r="C17" s="17" t="str">
        <f>HYPERLINK("https://portal.genego.com/cgi/entity_page.cgi?term=100&amp;id=2292","CDC20")</f>
        <v>CDC20</v>
      </c>
      <c r="D17" s="17" t="str">
        <f>HYPERLINK("https://portal.genego.com/cgi/entity_page.cgi?term=20&amp;id=1207643740","CDC20")</f>
        <v>CDC20</v>
      </c>
      <c r="E17" s="17" t="str">
        <f>HYPERLINK("https://portal.genego.com/cgi/entity_page.cgi?term=7&amp;id=1024595","CDC20_HUMAN")</f>
        <v>CDC20_HUMAN</v>
      </c>
      <c r="F17" s="9">
        <v>-1.0268111895793199</v>
      </c>
      <c r="G17" s="16">
        <v>2.0040010000000001E-10</v>
      </c>
    </row>
    <row r="18" spans="1:7" ht="60" customHeight="1" x14ac:dyDescent="0.25">
      <c r="A18" s="25">
        <v>15</v>
      </c>
      <c r="B18" s="26" t="s">
        <v>53</v>
      </c>
      <c r="C18" s="17" t="str">
        <f>HYPERLINK("https://portal.genego.com/cgi/entity_page.cgi?term=100&amp;id=6056","CDC25A")</f>
        <v>CDC25A</v>
      </c>
      <c r="D18" s="17" t="str">
        <f>HYPERLINK("https://portal.genego.com/cgi/entity_page.cgi?term=20&amp;id=1812507652","CDC25A")</f>
        <v>CDC25A</v>
      </c>
      <c r="E18" s="17" t="str">
        <f>HYPERLINK("https://portal.genego.com/cgi/entity_page.cgi?term=7&amp;id=255117437","MPIP1_HUMAN")</f>
        <v>MPIP1_HUMAN</v>
      </c>
      <c r="F18" s="6">
        <v>5.2073472368634299E-2</v>
      </c>
      <c r="G18" s="16">
        <v>0.78944250000000005</v>
      </c>
    </row>
    <row r="19" spans="1:7" ht="60" customHeight="1" x14ac:dyDescent="0.25">
      <c r="A19" s="25">
        <v>16</v>
      </c>
      <c r="B19" s="26" t="s">
        <v>54</v>
      </c>
      <c r="C19" s="17" t="str">
        <f>HYPERLINK("https://portal.genego.com/cgi/entity_page.cgi?term=100&amp;id=6061","CDC25B")</f>
        <v>CDC25B</v>
      </c>
      <c r="D19" s="17" t="str">
        <f>HYPERLINK("https://portal.genego.com/cgi/entity_page.cgi?term=20&amp;id=1952928736","CDC25B")</f>
        <v>CDC25B</v>
      </c>
      <c r="E19" s="17" t="str">
        <f>HYPERLINK("https://portal.genego.com/cgi/entity_page.cgi?term=7&amp;id=-775859153","MPIP2_HUMAN")</f>
        <v>MPIP2_HUMAN</v>
      </c>
      <c r="F19" s="10">
        <v>-0.84820863151407899</v>
      </c>
      <c r="G19" s="16">
        <v>5.3942279999999999E-7</v>
      </c>
    </row>
    <row r="20" spans="1:7" ht="60" customHeight="1" x14ac:dyDescent="0.25">
      <c r="A20" s="25">
        <v>17</v>
      </c>
      <c r="B20" s="26" t="s">
        <v>55</v>
      </c>
      <c r="C20" s="17" t="str">
        <f>HYPERLINK("https://portal.genego.com/cgi/entity_page.cgi?term=100&amp;id=6236","CDC25C")</f>
        <v>CDC25C</v>
      </c>
      <c r="D20" s="17" t="str">
        <f>HYPERLINK("https://portal.genego.com/cgi/entity_page.cgi?term=20&amp;id=-899465075","CDC25C")</f>
        <v>CDC25C</v>
      </c>
      <c r="E20" s="17" t="str">
        <f>HYPERLINK("https://portal.genego.com/cgi/entity_page.cgi?term=7&amp;id=-1371597999","MPIP3_HUMAN")</f>
        <v>MPIP3_HUMAN</v>
      </c>
      <c r="F20" s="13">
        <v>-0.37870476740011</v>
      </c>
      <c r="G20" s="16">
        <v>0.1203253</v>
      </c>
    </row>
    <row r="21" spans="1:7" ht="60" customHeight="1" x14ac:dyDescent="0.25">
      <c r="A21" s="25">
        <v>18</v>
      </c>
      <c r="B21" s="26" t="s">
        <v>56</v>
      </c>
      <c r="C21" s="17" t="str">
        <f>HYPERLINK("https://portal.genego.com/cgi/entity_page.cgi?term=100&amp;id=-846114585","CDC45L")</f>
        <v>CDC45L</v>
      </c>
      <c r="D21" s="17" t="str">
        <f>HYPERLINK("https://portal.genego.com/cgi/entity_page.cgi?term=20&amp;id=-2004830867","CDC45")</f>
        <v>CDC45</v>
      </c>
      <c r="E21" s="17" t="str">
        <f>HYPERLINK("https://portal.genego.com/cgi/entity_page.cgi?term=7&amp;id=1534867282","CDC45_HUMAN")</f>
        <v>CDC45_HUMAN</v>
      </c>
      <c r="F21" s="13">
        <v>-0.28077860570818303</v>
      </c>
      <c r="G21" s="16">
        <v>0.15291469999999999</v>
      </c>
    </row>
    <row r="22" spans="1:7" ht="60" customHeight="1" x14ac:dyDescent="0.25">
      <c r="A22" s="25">
        <v>19</v>
      </c>
      <c r="B22" s="26" t="s">
        <v>57</v>
      </c>
      <c r="C22" s="17" t="str">
        <f>HYPERLINK("https://portal.genego.com/cgi/entity_page.cgi?term=100&amp;id=-1557197986","CDC7")</f>
        <v>CDC7</v>
      </c>
      <c r="D22" s="17" t="str">
        <f>HYPERLINK("https://portal.genego.com/cgi/entity_page.cgi?term=20&amp;id=1814253568","CDC7")</f>
        <v>CDC7</v>
      </c>
      <c r="E22" s="17" t="str">
        <f>HYPERLINK("https://portal.genego.com/cgi/entity_page.cgi?term=7&amp;id=933764379","CDC7_HUMAN")</f>
        <v>CDC7_HUMAN</v>
      </c>
      <c r="F22" s="15">
        <v>-1.04280279337531E-2</v>
      </c>
      <c r="G22" s="16">
        <v>0.95767659999999999</v>
      </c>
    </row>
    <row r="23" spans="1:7" ht="60" customHeight="1" x14ac:dyDescent="0.25">
      <c r="A23" s="25">
        <v>20</v>
      </c>
      <c r="B23" s="26" t="s">
        <v>58</v>
      </c>
      <c r="C23" s="17" t="str">
        <f>HYPERLINK("https://portal.genego.com/cgi/entity_page.cgi?term=100&amp;id=-705001517","CDH1")</f>
        <v>CDH1</v>
      </c>
      <c r="D23" s="17" t="str">
        <f>HYPERLINK("https://portal.genego.com/cgi/entity_page.cgi?term=20&amp;id=-1498153567","FZR1")</f>
        <v>FZR1</v>
      </c>
      <c r="E23" s="17" t="str">
        <f>HYPERLINK("https://portal.genego.com/cgi/entity_page.cgi?term=7&amp;id=1023840","FZR1_HUMAN")</f>
        <v>FZR1_HUMAN</v>
      </c>
      <c r="F23" s="14">
        <v>-0.13600509274320999</v>
      </c>
      <c r="G23" s="16">
        <v>0.43887379999999998</v>
      </c>
    </row>
    <row r="24" spans="1:7" ht="60" customHeight="1" x14ac:dyDescent="0.25">
      <c r="A24" s="25">
        <v>21</v>
      </c>
      <c r="B24" s="26" t="s">
        <v>59</v>
      </c>
      <c r="C24" s="17" t="str">
        <f>HYPERLINK("https://portal.genego.com/cgi/entity_page.cgi?term=100&amp;id=133","CDK1 (p34)")</f>
        <v>CDK1 (p34)</v>
      </c>
      <c r="D24" s="17" t="str">
        <f>HYPERLINK("https://portal.genego.com/cgi/entity_page.cgi?term=20&amp;id=912883926","CDK1")</f>
        <v>CDK1</v>
      </c>
      <c r="E24" s="17" t="str">
        <f>HYPERLINK("https://portal.genego.com/cgi/entity_page.cgi?term=7&amp;id=531893162","CDK1_HUMAN")</f>
        <v>CDK1_HUMAN</v>
      </c>
      <c r="F24" s="14">
        <v>-0.22461193791629699</v>
      </c>
      <c r="G24" s="16">
        <v>0.1873891</v>
      </c>
    </row>
    <row r="25" spans="1:7" ht="60" customHeight="1" x14ac:dyDescent="0.25">
      <c r="A25" s="25">
        <v>22</v>
      </c>
      <c r="B25" s="26" t="s">
        <v>60</v>
      </c>
      <c r="C25" s="17" t="str">
        <f>HYPERLINK("https://portal.genego.com/cgi/entity_page.cgi?term=100&amp;id=134","CDK2")</f>
        <v>CDK2</v>
      </c>
      <c r="D25" s="17" t="str">
        <f>HYPERLINK("https://portal.genego.com/cgi/entity_page.cgi?term=20&amp;id=1785894687","CDK2")</f>
        <v>CDK2</v>
      </c>
      <c r="E25" s="17" t="str">
        <f>HYPERLINK("https://portal.genego.com/cgi/entity_page.cgi?term=7&amp;id=795198073","CDK2_HUMAN")</f>
        <v>CDK2_HUMAN</v>
      </c>
      <c r="F25" s="14">
        <v>-0.25037710631243398</v>
      </c>
      <c r="G25" s="16">
        <v>0.1282228</v>
      </c>
    </row>
    <row r="26" spans="1:7" ht="60" customHeight="1" x14ac:dyDescent="0.25">
      <c r="A26" s="25">
        <v>23</v>
      </c>
      <c r="B26" s="26" t="s">
        <v>61</v>
      </c>
      <c r="C26" s="17" t="str">
        <f>HYPERLINK("https://portal.genego.com/cgi/entity_page.cgi?term=100&amp;id=135","CDK4")</f>
        <v>CDK4</v>
      </c>
      <c r="D26" s="17" t="str">
        <f>HYPERLINK("https://portal.genego.com/cgi/entity_page.cgi?term=20&amp;id=-1793945741","CDK4")</f>
        <v>CDK4</v>
      </c>
      <c r="E26" s="17" t="str">
        <f>HYPERLINK("https://portal.genego.com/cgi/entity_page.cgi?term=7&amp;id=894210117","CDK4_HUMAN")</f>
        <v>CDK4_HUMAN</v>
      </c>
      <c r="F26" s="12">
        <v>-0.50426006962259495</v>
      </c>
      <c r="G26" s="16">
        <v>1.518946E-3</v>
      </c>
    </row>
    <row r="27" spans="1:7" ht="60" customHeight="1" x14ac:dyDescent="0.25">
      <c r="A27" s="25">
        <v>24</v>
      </c>
      <c r="B27" s="26" t="s">
        <v>62</v>
      </c>
      <c r="C27" s="17" t="str">
        <f>HYPERLINK("https://portal.genego.com/cgi/entity_page.cgi?term=100&amp;id=185","CDK6")</f>
        <v>CDK6</v>
      </c>
      <c r="D27" s="17" t="str">
        <f>HYPERLINK("https://portal.genego.com/cgi/entity_page.cgi?term=20&amp;id=86519772","CDK6")</f>
        <v>CDK6</v>
      </c>
      <c r="E27" s="17" t="str">
        <f>HYPERLINK("https://portal.genego.com/cgi/entity_page.cgi?term=7&amp;id=-1406166887","CDK6_HUMAN")</f>
        <v>CDK6_HUMAN</v>
      </c>
      <c r="F27" s="1">
        <v>0.61600665967825696</v>
      </c>
      <c r="G27" s="16">
        <v>1.269256E-2</v>
      </c>
    </row>
    <row r="28" spans="1:7" ht="60" customHeight="1" x14ac:dyDescent="0.25">
      <c r="A28" s="25">
        <v>25</v>
      </c>
      <c r="B28" s="26" t="s">
        <v>63</v>
      </c>
      <c r="C28" s="17" t="str">
        <f>HYPERLINK("https://portal.genego.com/cgi/entity_page.cgi?term=100&amp;id=2225","CDK7")</f>
        <v>CDK7</v>
      </c>
      <c r="D28" s="17" t="str">
        <f>HYPERLINK("https://portal.genego.com/cgi/entity_page.cgi?term=20&amp;id=-926701708","CDK7")</f>
        <v>CDK7</v>
      </c>
      <c r="E28" s="17" t="str">
        <f>HYPERLINK("https://portal.genego.com/cgi/entity_page.cgi?term=7&amp;id=1207843957","CDK7_HUMAN")</f>
        <v>CDK7_HUMAN</v>
      </c>
      <c r="F28" s="15">
        <v>-3.0036416225657201E-2</v>
      </c>
      <c r="G28" s="16">
        <v>0.87992729999999997</v>
      </c>
    </row>
    <row r="29" spans="1:7" ht="60" customHeight="1" x14ac:dyDescent="0.25">
      <c r="A29" s="25">
        <v>26</v>
      </c>
      <c r="B29" s="26" t="s">
        <v>64</v>
      </c>
      <c r="C29" s="17" t="str">
        <f>HYPERLINK("https://portal.genego.com/cgi/entity_page.cgi?term=100&amp;id=-756341948","CENP-A")</f>
        <v>CENP-A</v>
      </c>
      <c r="D29" s="17" t="str">
        <f>HYPERLINK("https://portal.genego.com/cgi/entity_page.cgi?term=20&amp;id=-1205599227","CENPA")</f>
        <v>CENPA</v>
      </c>
      <c r="E29" s="17" t="str">
        <f>HYPERLINK("https://portal.genego.com/cgi/entity_page.cgi?term=7&amp;id=-1664201249","CENPA_HUMAN")</f>
        <v>CENPA_HUMAN</v>
      </c>
      <c r="F29" s="13">
        <v>-0.400247849280917</v>
      </c>
      <c r="G29" s="16">
        <v>0.10886220000000001</v>
      </c>
    </row>
    <row r="30" spans="1:7" ht="60" customHeight="1" x14ac:dyDescent="0.25">
      <c r="A30" s="25">
        <v>27</v>
      </c>
      <c r="B30" s="26" t="s">
        <v>65</v>
      </c>
      <c r="C30" s="17" t="str">
        <f>HYPERLINK("https://portal.genego.com/cgi/entity_page.cgi?term=100&amp;id=-1512993179","CENP-E")</f>
        <v>CENP-E</v>
      </c>
      <c r="D30" s="17" t="str">
        <f>HYPERLINK("https://portal.genego.com/cgi/entity_page.cgi?term=20&amp;id=-2141264520","CENPE")</f>
        <v>CENPE</v>
      </c>
      <c r="E30" s="17" t="str">
        <f>HYPERLINK("https://portal.genego.com/cgi/entity_page.cgi?term=7&amp;id=-654013262","CENPE_HUMAN")</f>
        <v>CENPE_HUMAN</v>
      </c>
      <c r="F30" s="7">
        <v>3.4915941671696198E-2</v>
      </c>
      <c r="G30" s="16">
        <v>0.85396879999999997</v>
      </c>
    </row>
    <row r="31" spans="1:7" ht="60" customHeight="1" x14ac:dyDescent="0.25">
      <c r="A31" s="25">
        <v>28</v>
      </c>
      <c r="B31" s="26" t="s">
        <v>66</v>
      </c>
      <c r="C31" s="17" t="str">
        <f>HYPERLINK("https://portal.genego.com/cgi/entity_page.cgi?term=100&amp;id=-84529033","CENP-H")</f>
        <v>CENP-H</v>
      </c>
      <c r="D31" s="17" t="str">
        <f>HYPERLINK("https://portal.genego.com/cgi/entity_page.cgi?term=20&amp;id=-918343406","CENPH")</f>
        <v>CENPH</v>
      </c>
      <c r="E31" s="17" t="str">
        <f>HYPERLINK("https://portal.genego.com/cgi/entity_page.cgi?term=7&amp;id=1020798","CENPH_HUMAN")</f>
        <v>CENPH_HUMAN</v>
      </c>
      <c r="F31" s="10">
        <v>-0.92387256766633497</v>
      </c>
      <c r="G31" s="16">
        <v>2.9424399999999998E-4</v>
      </c>
    </row>
    <row r="32" spans="1:7" ht="60" customHeight="1" x14ac:dyDescent="0.25">
      <c r="A32" s="25">
        <v>29</v>
      </c>
      <c r="B32" s="26" t="s">
        <v>67</v>
      </c>
      <c r="C32" s="17" t="str">
        <f>HYPERLINK("https://portal.genego.com/cgi/entity_page.cgi?term=100&amp;id=-2136656026","CKS2")</f>
        <v>CKS2</v>
      </c>
      <c r="D32" s="17" t="str">
        <f>HYPERLINK("https://portal.genego.com/cgi/entity_page.cgi?term=20&amp;id=2077715407","CKS2")</f>
        <v>CKS2</v>
      </c>
      <c r="E32" s="17" t="str">
        <f>HYPERLINK("https://portal.genego.com/cgi/entity_page.cgi?term=7&amp;id=851219643","CKS2_HUMAN")</f>
        <v>CKS2_HUMAN</v>
      </c>
      <c r="F32" s="13">
        <v>-0.39486907610697097</v>
      </c>
      <c r="G32" s="16">
        <v>4.3898E-2</v>
      </c>
    </row>
    <row r="33" spans="1:7" ht="60" customHeight="1" x14ac:dyDescent="0.25">
      <c r="A33" s="25">
        <v>30</v>
      </c>
      <c r="B33" s="26" t="s">
        <v>68</v>
      </c>
      <c r="C33" s="17" t="str">
        <f>HYPERLINK("https://portal.genego.com/cgi/entity_page.cgi?term=100&amp;id=-1602081789","Cdt1")</f>
        <v>Cdt1</v>
      </c>
      <c r="D33" s="17" t="str">
        <f>HYPERLINK("https://portal.genego.com/cgi/entity_page.cgi?term=20&amp;id=-1296211384","CDT1")</f>
        <v>CDT1</v>
      </c>
      <c r="E33" s="17" t="str">
        <f>HYPERLINK("https://portal.genego.com/cgi/entity_page.cgi?term=7&amp;id=1026444","CDT1_HUMAN")</f>
        <v>CDT1_HUMAN</v>
      </c>
      <c r="F33" s="12">
        <v>-0.46869136724439697</v>
      </c>
      <c r="G33" s="16">
        <v>2.1503789999999998E-2</v>
      </c>
    </row>
    <row r="34" spans="1:7" ht="60" customHeight="1" x14ac:dyDescent="0.25">
      <c r="A34" s="25">
        <v>31</v>
      </c>
      <c r="B34" s="26" t="s">
        <v>69</v>
      </c>
      <c r="C34" s="17" t="str">
        <f>HYPERLINK("https://portal.genego.com/cgi/entity_page.cgi?term=100&amp;id=-145039663","Cyclin B1")</f>
        <v>Cyclin B1</v>
      </c>
      <c r="D34" s="17" t="str">
        <f>HYPERLINK("https://portal.genego.com/cgi/entity_page.cgi?term=20&amp;id=280755997","CCNB1")</f>
        <v>CCNB1</v>
      </c>
      <c r="E34" s="17" t="str">
        <f>HYPERLINK("https://portal.genego.com/cgi/entity_page.cgi?term=7&amp;id=-717401605","CCNB1_HUMAN")</f>
        <v>CCNB1_HUMAN</v>
      </c>
      <c r="F34" s="11">
        <v>-0.66823527616807699</v>
      </c>
      <c r="G34" s="16">
        <v>2.5627899999999999E-5</v>
      </c>
    </row>
    <row r="35" spans="1:7" ht="60" customHeight="1" x14ac:dyDescent="0.25">
      <c r="A35" s="25">
        <v>32</v>
      </c>
      <c r="B35" s="26" t="s">
        <v>70</v>
      </c>
      <c r="C35" s="17" t="str">
        <f>HYPERLINK("https://portal.genego.com/cgi/entity_page.cgi?term=100&amp;id=6060","Cyclin B2")</f>
        <v>Cyclin B2</v>
      </c>
      <c r="D35" s="17" t="str">
        <f>HYPERLINK("https://portal.genego.com/cgi/entity_page.cgi?term=20&amp;id=-565056136","CCNB2")</f>
        <v>CCNB2</v>
      </c>
      <c r="E35" s="17" t="str">
        <f>HYPERLINK("https://portal.genego.com/cgi/entity_page.cgi?term=7&amp;id=-1998464835","CCNB2_HUMAN")</f>
        <v>CCNB2_HUMAN</v>
      </c>
      <c r="F35" s="9">
        <v>-1.0200881333918399</v>
      </c>
      <c r="G35" s="16">
        <v>2.0400899999999999E-10</v>
      </c>
    </row>
    <row r="36" spans="1:7" ht="60" customHeight="1" x14ac:dyDescent="0.25">
      <c r="A36" s="25">
        <v>33</v>
      </c>
      <c r="B36" s="26" t="s">
        <v>71</v>
      </c>
      <c r="C36" s="17" t="str">
        <f>HYPERLINK("https://portal.genego.com/cgi/entity_page.cgi?term=100&amp;id=-598557405","Cyclin B3")</f>
        <v>Cyclin B3</v>
      </c>
      <c r="D36" s="17" t="str">
        <f>HYPERLINK("https://portal.genego.com/cgi/entity_page.cgi?term=20&amp;id=-1738071044","CCNB3")</f>
        <v>CCNB3</v>
      </c>
      <c r="E36" s="17" t="str">
        <f>HYPERLINK("https://portal.genego.com/cgi/entity_page.cgi?term=7&amp;id=1037033","CCNB3_HUMAN")</f>
        <v>CCNB3_HUMAN</v>
      </c>
      <c r="F36" s="6">
        <v>4.5464075035396297E-2</v>
      </c>
      <c r="G36" s="16">
        <v>1</v>
      </c>
    </row>
    <row r="37" spans="1:7" ht="60" customHeight="1" x14ac:dyDescent="0.25">
      <c r="A37" s="25">
        <v>34</v>
      </c>
      <c r="B37" s="26" t="s">
        <v>72</v>
      </c>
      <c r="C37" s="17" t="str">
        <f>HYPERLINK("https://portal.genego.com/cgi/entity_page.cgi?term=100&amp;id=6005","Cyclin D1")</f>
        <v>Cyclin D1</v>
      </c>
      <c r="D37" s="17" t="str">
        <f>HYPERLINK("https://portal.genego.com/cgi/entity_page.cgi?term=20&amp;id=-841303359","CCND1")</f>
        <v>CCND1</v>
      </c>
      <c r="E37" s="17" t="str">
        <f>HYPERLINK("https://portal.genego.com/cgi/entity_page.cgi?term=7&amp;id=2060912780","CCND1_HUMAN")</f>
        <v>CCND1_HUMAN</v>
      </c>
      <c r="F37" s="2">
        <v>0.44835272695259598</v>
      </c>
      <c r="G37" s="16">
        <v>4.921843E-4</v>
      </c>
    </row>
    <row r="38" spans="1:7" ht="60" customHeight="1" x14ac:dyDescent="0.25">
      <c r="A38" s="25">
        <v>35</v>
      </c>
      <c r="B38" s="26" t="s">
        <v>73</v>
      </c>
      <c r="C38" s="17" t="str">
        <f>HYPERLINK("https://portal.genego.com/cgi/entity_page.cgi?term=100&amp;id=6074","Cyclin D3")</f>
        <v>Cyclin D3</v>
      </c>
      <c r="D38" s="17" t="str">
        <f>HYPERLINK("https://portal.genego.com/cgi/entity_page.cgi?term=20&amp;id=148280906","CCND3")</f>
        <v>CCND3</v>
      </c>
      <c r="E38" s="17" t="str">
        <f>HYPERLINK("https://portal.genego.com/cgi/entity_page.cgi?term=7&amp;id=1566668080","CCND3_HUMAN")</f>
        <v>CCND3_HUMAN</v>
      </c>
      <c r="F38" s="3">
        <v>0.33271205794632103</v>
      </c>
      <c r="G38" s="16">
        <v>5.0603219999999997E-2</v>
      </c>
    </row>
    <row r="39" spans="1:7" ht="60" customHeight="1" x14ac:dyDescent="0.25">
      <c r="A39" s="25">
        <v>36</v>
      </c>
      <c r="B39" s="26" t="s">
        <v>74</v>
      </c>
      <c r="C39" s="17" t="str">
        <f>HYPERLINK("https://portal.genego.com/cgi/entity_page.cgi?term=100&amp;id=931","Cyclin E")</f>
        <v>Cyclin E</v>
      </c>
      <c r="D39" s="17" t="str">
        <f>HYPERLINK("https://portal.genego.com/cgi/entity_page.cgi?term=20&amp;id=-1478920378","CCNE1")</f>
        <v>CCNE1</v>
      </c>
      <c r="E39" s="17" t="str">
        <f>HYPERLINK("https://portal.genego.com/cgi/entity_page.cgi?term=7&amp;id=12660159","CCNE1_HUMAN")</f>
        <v>CCNE1_HUMAN</v>
      </c>
      <c r="F39" s="4">
        <v>0.229938448184273</v>
      </c>
      <c r="G39" s="16">
        <v>0.23970839999999999</v>
      </c>
    </row>
    <row r="40" spans="1:7" ht="60" customHeight="1" x14ac:dyDescent="0.25">
      <c r="A40" s="25">
        <v>37</v>
      </c>
      <c r="B40" s="26" t="s">
        <v>75</v>
      </c>
      <c r="C40" s="17" t="str">
        <f>HYPERLINK("https://portal.genego.com/cgi/entity_page.cgi?term=100&amp;id=-528563242","Cyclin E2")</f>
        <v>Cyclin E2</v>
      </c>
      <c r="D40" s="17" t="str">
        <f>HYPERLINK("https://portal.genego.com/cgi/entity_page.cgi?term=20&amp;id=-1252314401","CCNE2")</f>
        <v>CCNE2</v>
      </c>
      <c r="E40" s="17" t="str">
        <f>HYPERLINK("https://portal.genego.com/cgi/entity_page.cgi?term=7&amp;id=-18012035","CCNE2_HUMAN")</f>
        <v>CCNE2_HUMAN</v>
      </c>
      <c r="F40" s="15">
        <v>-3.2724856363007802E-3</v>
      </c>
      <c r="G40" s="16">
        <v>0.98716999999999999</v>
      </c>
    </row>
    <row r="41" spans="1:7" ht="60" customHeight="1" x14ac:dyDescent="0.25">
      <c r="A41" s="25">
        <v>38</v>
      </c>
      <c r="B41" s="26" t="s">
        <v>76</v>
      </c>
      <c r="C41" s="17" t="str">
        <f>HYPERLINK("https://portal.genego.com/cgi/entity_page.cgi?term=100&amp;id=2227","Cyclin H")</f>
        <v>Cyclin H</v>
      </c>
      <c r="D41" s="17" t="str">
        <f>HYPERLINK("https://portal.genego.com/cgi/entity_page.cgi?term=20&amp;id=-700866986","CCNH")</f>
        <v>CCNH</v>
      </c>
      <c r="E41" s="17" t="str">
        <f>HYPERLINK("https://portal.genego.com/cgi/entity_page.cgi?term=7&amp;id=-1549367188","CCNH_HUMAN")</f>
        <v>CCNH_HUMAN</v>
      </c>
      <c r="F41" s="6">
        <v>0.10232631516393199</v>
      </c>
      <c r="G41" s="16">
        <v>0.54414870000000004</v>
      </c>
    </row>
    <row r="42" spans="1:7" ht="60" customHeight="1" x14ac:dyDescent="0.25">
      <c r="A42" s="25">
        <v>39</v>
      </c>
      <c r="B42" s="26" t="s">
        <v>77</v>
      </c>
      <c r="C42" s="17" t="str">
        <f>HYPERLINK("https://portal.genego.com/cgi/entity_page.cgi?term=100&amp;id=-988002804","DNA ligase I")</f>
        <v>DNA ligase I</v>
      </c>
      <c r="D42" s="17" t="str">
        <f>HYPERLINK("https://portal.genego.com/cgi/entity_page.cgi?term=20&amp;id=-1965707903","LIG1")</f>
        <v>LIG1</v>
      </c>
      <c r="E42" s="17" t="str">
        <f>HYPERLINK("https://portal.genego.com/cgi/entity_page.cgi?term=7&amp;id=-711337935","DNLI1_HUMAN")</f>
        <v>DNLI1_HUMAN</v>
      </c>
      <c r="F42" s="13">
        <v>-0.31722798855080803</v>
      </c>
      <c r="G42" s="16">
        <v>6.515108E-2</v>
      </c>
    </row>
    <row r="43" spans="1:7" ht="60" customHeight="1" x14ac:dyDescent="0.25">
      <c r="A43" s="25">
        <v>40</v>
      </c>
      <c r="B43" s="26" t="s">
        <v>78</v>
      </c>
      <c r="C43" s="17" t="str">
        <f>HYPERLINK("https://portal.genego.com/cgi/entity_page.cgi?term=100&amp;id=2273","DP1")</f>
        <v>DP1</v>
      </c>
      <c r="D43" s="17" t="str">
        <f>HYPERLINK("https://portal.genego.com/cgi/entity_page.cgi?term=20&amp;id=573651584","TFDP1")</f>
        <v>TFDP1</v>
      </c>
      <c r="E43" s="17" t="str">
        <f>HYPERLINK("https://portal.genego.com/cgi/entity_page.cgi?term=7&amp;id=325717321","TFDP1_HUMAN")</f>
        <v>TFDP1_HUMAN</v>
      </c>
      <c r="F43" s="14">
        <v>-0.13248177774332601</v>
      </c>
      <c r="G43" s="16">
        <v>0.36374260000000003</v>
      </c>
    </row>
    <row r="44" spans="1:7" ht="60" customHeight="1" x14ac:dyDescent="0.25">
      <c r="A44" s="25">
        <v>41</v>
      </c>
      <c r="B44" s="26" t="s">
        <v>79</v>
      </c>
      <c r="C44" s="17" t="str">
        <f>HYPERLINK("https://portal.genego.com/cgi/entity_page.cgi?term=100&amp;id=4303","E2F1")</f>
        <v>E2F1</v>
      </c>
      <c r="D44" s="17" t="str">
        <f>HYPERLINK("https://portal.genego.com/cgi/entity_page.cgi?term=20&amp;id=-27840773","E2F1")</f>
        <v>E2F1</v>
      </c>
      <c r="E44" s="17" t="str">
        <f>HYPERLINK("https://portal.genego.com/cgi/entity_page.cgi?term=7&amp;id=-89279725","E2F1_HUMAN")</f>
        <v>E2F1_HUMAN</v>
      </c>
      <c r="F44" s="14">
        <v>-0.22855208608319599</v>
      </c>
      <c r="G44" s="16">
        <v>0.23347000000000001</v>
      </c>
    </row>
    <row r="45" spans="1:7" ht="60" customHeight="1" x14ac:dyDescent="0.25">
      <c r="A45" s="25">
        <v>42</v>
      </c>
      <c r="B45" s="26" t="s">
        <v>80</v>
      </c>
      <c r="C45" s="17" t="str">
        <f>HYPERLINK("https://portal.genego.com/cgi/entity_page.cgi?term=100&amp;id=4622","E2F2")</f>
        <v>E2F2</v>
      </c>
      <c r="D45" s="17" t="str">
        <f>HYPERLINK("https://portal.genego.com/cgi/entity_page.cgi?term=20&amp;id=1755060567","E2F2")</f>
        <v>E2F2</v>
      </c>
      <c r="E45" s="17" t="str">
        <f>HYPERLINK("https://portal.genego.com/cgi/entity_page.cgi?term=7&amp;id=-672818428","E2F2_HUMAN")</f>
        <v>E2F2_HUMAN</v>
      </c>
      <c r="F45" s="14">
        <v>-0.11752512819257099</v>
      </c>
      <c r="G45" s="16">
        <v>0.45963999999999999</v>
      </c>
    </row>
    <row r="46" spans="1:7" ht="60" customHeight="1" x14ac:dyDescent="0.25">
      <c r="A46" s="25">
        <v>43</v>
      </c>
      <c r="B46" s="26" t="s">
        <v>81</v>
      </c>
      <c r="C46" s="17" t="str">
        <f>HYPERLINK("https://portal.genego.com/cgi/entity_page.cgi?term=100&amp;id=-714032760","E2F3")</f>
        <v>E2F3</v>
      </c>
      <c r="D46" s="17" t="str">
        <f>HYPERLINK("https://portal.genego.com/cgi/entity_page.cgi?term=20&amp;id=892959891","E2F3")</f>
        <v>E2F3</v>
      </c>
      <c r="E46" s="17" t="str">
        <f>HYPERLINK("https://portal.genego.com/cgi/entity_page.cgi?term=7&amp;id=-540105904","E2F3_HUMAN")</f>
        <v>E2F3_HUMAN</v>
      </c>
      <c r="F46" s="6">
        <v>8.93194019977437E-2</v>
      </c>
      <c r="G46" s="16">
        <v>0.61940729999999999</v>
      </c>
    </row>
    <row r="47" spans="1:7" ht="60" customHeight="1" x14ac:dyDescent="0.25">
      <c r="A47" s="25">
        <v>44</v>
      </c>
      <c r="B47" s="26" t="s">
        <v>82</v>
      </c>
      <c r="C47" s="17" t="str">
        <f>HYPERLINK("https://portal.genego.com/cgi/entity_page.cgi?term=100&amp;id=4247","E2F4")</f>
        <v>E2F4</v>
      </c>
      <c r="D47" s="17" t="str">
        <f>HYPERLINK("https://portal.genego.com/cgi/entity_page.cgi?term=20&amp;id=2139618236","E2F4")</f>
        <v>E2F4</v>
      </c>
      <c r="E47" s="17" t="str">
        <f>HYPERLINK("https://portal.genego.com/cgi/entity_page.cgi?term=7&amp;id=-806716919","E2F4_HUMAN")</f>
        <v>E2F4_HUMAN</v>
      </c>
      <c r="F47" s="7">
        <v>2.62679303832291E-2</v>
      </c>
      <c r="G47" s="16">
        <v>0.89568930000000002</v>
      </c>
    </row>
    <row r="48" spans="1:7" ht="60" customHeight="1" x14ac:dyDescent="0.25">
      <c r="A48" s="25">
        <v>45</v>
      </c>
      <c r="B48" s="26" t="s">
        <v>83</v>
      </c>
      <c r="C48" s="17" t="str">
        <f>HYPERLINK("https://portal.genego.com/cgi/entity_page.cgi?term=100&amp;id=-700811687","E2F5")</f>
        <v>E2F5</v>
      </c>
      <c r="D48" s="17" t="str">
        <f>HYPERLINK("https://portal.genego.com/cgi/entity_page.cgi?term=20&amp;id=-1118797656","E2F5")</f>
        <v>E2F5</v>
      </c>
      <c r="E48" s="17" t="str">
        <f>HYPERLINK("https://portal.genego.com/cgi/entity_page.cgi?term=7&amp;id=638916853","E2F5_HUMAN")</f>
        <v>E2F5_HUMAN</v>
      </c>
      <c r="F48" s="15">
        <v>-7.7224372524629506E-2</v>
      </c>
      <c r="G48" s="16">
        <v>0.66466009999999998</v>
      </c>
    </row>
    <row r="49" spans="1:7" ht="60" customHeight="1" x14ac:dyDescent="0.25">
      <c r="A49" s="25">
        <v>46</v>
      </c>
      <c r="B49" s="26" t="s">
        <v>84</v>
      </c>
      <c r="C49" s="17" t="str">
        <f>HYPERLINK("https://portal.genego.com/cgi/entity_page.cgi?term=100&amp;id=-2032480935","Emi1")</f>
        <v>Emi1</v>
      </c>
      <c r="D49" s="17" t="str">
        <f>HYPERLINK("https://portal.genego.com/cgi/entity_page.cgi?term=20&amp;id=-1397979609","FBXO5")</f>
        <v>FBXO5</v>
      </c>
      <c r="E49" s="17" t="str">
        <f>HYPERLINK("https://portal.genego.com/cgi/entity_page.cgi?term=7&amp;id=1002767","FBX5_HUMAN")</f>
        <v>FBX5_HUMAN</v>
      </c>
      <c r="F49" s="13">
        <v>-0.31693581903117202</v>
      </c>
      <c r="G49" s="16">
        <v>9.7436900000000007E-2</v>
      </c>
    </row>
    <row r="50" spans="1:7" ht="60" customHeight="1" x14ac:dyDescent="0.25">
      <c r="A50" s="25">
        <v>47</v>
      </c>
      <c r="B50" s="26" t="s">
        <v>85</v>
      </c>
      <c r="C50" s="17" t="str">
        <f>HYPERLINK("https://portal.genego.com/cgi/entity_page.cgi?term=100&amp;id=2555","FEN1")</f>
        <v>FEN1</v>
      </c>
      <c r="D50" s="17" t="str">
        <f>HYPERLINK("https://portal.genego.com/cgi/entity_page.cgi?term=20&amp;id=204006403","FEN1")</f>
        <v>FEN1</v>
      </c>
      <c r="E50" s="17" t="str">
        <f>HYPERLINK("https://portal.genego.com/cgi/entity_page.cgi?term=7&amp;id=-1508883212","FEN1_HUMAN")</f>
        <v>FEN1_HUMAN</v>
      </c>
      <c r="F50" s="14">
        <v>-0.23837923032682501</v>
      </c>
      <c r="G50" s="16">
        <v>0.1151592</v>
      </c>
    </row>
    <row r="51" spans="1:7" ht="60" customHeight="1" x14ac:dyDescent="0.25">
      <c r="A51" s="25">
        <v>48</v>
      </c>
      <c r="B51" s="26" t="s">
        <v>86</v>
      </c>
      <c r="C51" s="17" t="str">
        <f>HYPERLINK("https://portal.genego.com/cgi/entity_page.cgi?term=100&amp;id=9147","HEC")</f>
        <v>HEC</v>
      </c>
      <c r="D51" s="17" t="str">
        <f>HYPERLINK("https://portal.genego.com/cgi/entity_page.cgi?term=20&amp;id=618561175","NDC80")</f>
        <v>NDC80</v>
      </c>
      <c r="E51" s="17" t="str">
        <f>HYPERLINK("https://portal.genego.com/cgi/entity_page.cgi?term=7&amp;id=618561175","NDC80_HUMAN")</f>
        <v>NDC80_HUMAN</v>
      </c>
      <c r="F51" s="12">
        <v>-0.519764767506259</v>
      </c>
      <c r="G51" s="16">
        <v>3.185982E-3</v>
      </c>
    </row>
    <row r="52" spans="1:7" ht="60" customHeight="1" x14ac:dyDescent="0.25">
      <c r="A52" s="25">
        <v>49</v>
      </c>
      <c r="B52" s="26" t="s">
        <v>87</v>
      </c>
      <c r="C52" s="17" t="str">
        <f>HYPERLINK("https://portal.genego.com/cgi/entity_page.cgi?term=100&amp;id=-460864343","HP1 alpha")</f>
        <v>HP1 alpha</v>
      </c>
      <c r="D52" s="17" t="str">
        <f>HYPERLINK("https://portal.genego.com/cgi/entity_page.cgi?term=20&amp;id=291506480","CBX5")</f>
        <v>CBX5</v>
      </c>
      <c r="E52" s="17" t="str">
        <f>HYPERLINK("https://portal.genego.com/cgi/entity_page.cgi?term=7&amp;id=-2043328275","CBX5_HUMAN")</f>
        <v>CBX5_HUMAN</v>
      </c>
      <c r="F52" s="7">
        <v>2.47401631117273E-2</v>
      </c>
      <c r="G52" s="16">
        <v>0.90518580000000004</v>
      </c>
    </row>
    <row r="53" spans="1:7" ht="60" customHeight="1" x14ac:dyDescent="0.25">
      <c r="A53" s="25">
        <v>50</v>
      </c>
      <c r="B53" s="26" t="s">
        <v>88</v>
      </c>
      <c r="C53" s="17" t="str">
        <f>HYPERLINK("https://portal.genego.com/cgi/entity_page.cgi?term=100&amp;id=-1262583804","INCENP")</f>
        <v>INCENP</v>
      </c>
      <c r="D53" s="17" t="str">
        <f>HYPERLINK("https://portal.genego.com/cgi/entity_page.cgi?term=20&amp;id=-454265880","INCENP")</f>
        <v>INCENP</v>
      </c>
      <c r="E53" s="17" t="str">
        <f>HYPERLINK("https://portal.genego.com/cgi/entity_page.cgi?term=7&amp;id=1010459","INCE_HUMAN")</f>
        <v>INCE_HUMAN</v>
      </c>
      <c r="F53" s="15">
        <v>-5.0030278682017301E-2</v>
      </c>
      <c r="G53" s="16">
        <v>0.79500510000000002</v>
      </c>
    </row>
    <row r="54" spans="1:7" ht="60" customHeight="1" x14ac:dyDescent="0.25">
      <c r="A54" s="25">
        <v>51</v>
      </c>
      <c r="B54" s="26" t="s">
        <v>89</v>
      </c>
      <c r="C54" s="17" t="str">
        <f>HYPERLINK("https://portal.genego.com/cgi/entity_page.cgi?term=100&amp;id=-1070549139","Kid")</f>
        <v>Kid</v>
      </c>
      <c r="D54" s="17" t="str">
        <f>HYPERLINK("https://portal.genego.com/cgi/entity_page.cgi?term=20&amp;id=368366613","KIF22")</f>
        <v>KIF22</v>
      </c>
      <c r="E54" s="17" t="str">
        <f>HYPERLINK("https://portal.genego.com/cgi/entity_page.cgi?term=7&amp;id=310158447","KIF22_HUMAN")</f>
        <v>KIF22_HUMAN</v>
      </c>
      <c r="F54" s="12">
        <v>-0.49397702181119302</v>
      </c>
      <c r="G54" s="16">
        <v>7.6937869999999997E-3</v>
      </c>
    </row>
    <row r="55" spans="1:7" ht="60" customHeight="1" x14ac:dyDescent="0.25">
      <c r="A55" s="25">
        <v>52</v>
      </c>
      <c r="B55" s="26" t="s">
        <v>90</v>
      </c>
      <c r="C55" s="17" t="str">
        <f>HYPERLINK("https://portal.genego.com/cgi/entity_page.cgi?term=100&amp;id=2631","Kinase MYT1")</f>
        <v>Kinase MYT1</v>
      </c>
      <c r="D55" s="17" t="str">
        <f>HYPERLINK("https://portal.genego.com/cgi/entity_page.cgi?term=20&amp;id=-1076382961","PKMYT1")</f>
        <v>PKMYT1</v>
      </c>
      <c r="E55" s="17" t="str">
        <f>HYPERLINK("https://portal.genego.com/cgi/entity_page.cgi?term=7&amp;id=1040722","PMYT1_HUMAN")</f>
        <v>PMYT1_HUMAN</v>
      </c>
      <c r="F55" s="13">
        <v>-0.42524313392219298</v>
      </c>
      <c r="G55" s="16">
        <v>9.0034929999999999E-2</v>
      </c>
    </row>
    <row r="56" spans="1:7" ht="60" customHeight="1" x14ac:dyDescent="0.25">
      <c r="A56" s="25">
        <v>53</v>
      </c>
      <c r="B56" s="26" t="s">
        <v>91</v>
      </c>
      <c r="C56" s="17" t="str">
        <f>HYPERLINK("https://portal.genego.com/cgi/entity_page.cgi?term=100&amp;id=-355426689","MAD1 (mitotic checkpoint)")</f>
        <v>MAD1 (mitotic checkpoint)</v>
      </c>
      <c r="D56" s="17" t="str">
        <f>HYPERLINK("https://portal.genego.com/cgi/entity_page.cgi?term=20&amp;id=-1672874091","MAD1L1")</f>
        <v>MAD1L1</v>
      </c>
      <c r="E56" s="17" t="str">
        <f>HYPERLINK("https://portal.genego.com/cgi/entity_page.cgi?term=7&amp;id=1029166","MD1L1_HUMAN")</f>
        <v>MD1L1_HUMAN</v>
      </c>
      <c r="F56" s="6">
        <v>0.106590534481584</v>
      </c>
      <c r="G56" s="16">
        <v>0.56068530000000005</v>
      </c>
    </row>
    <row r="57" spans="1:7" ht="60" customHeight="1" x14ac:dyDescent="0.25">
      <c r="A57" s="25">
        <v>54</v>
      </c>
      <c r="B57" s="26" t="s">
        <v>92</v>
      </c>
      <c r="C57" s="17" t="str">
        <f>HYPERLINK("https://portal.genego.com/cgi/entity_page.cgi?term=100&amp;id=-73098979","MAD2a")</f>
        <v>MAD2a</v>
      </c>
      <c r="D57" s="17" t="str">
        <f>HYPERLINK("https://portal.genego.com/cgi/entity_page.cgi?term=20&amp;id=1143895345","MAD2L1")</f>
        <v>MAD2L1</v>
      </c>
      <c r="E57" s="17" t="str">
        <f>HYPERLINK("https://portal.genego.com/cgi/entity_page.cgi?term=7&amp;id=1103221897","MD2L1_HUMAN")</f>
        <v>MD2L1_HUMAN</v>
      </c>
      <c r="F57" s="11">
        <v>-0.69687364159591503</v>
      </c>
      <c r="G57" s="16">
        <v>2.333514E-4</v>
      </c>
    </row>
    <row r="58" spans="1:7" ht="60" customHeight="1" x14ac:dyDescent="0.25">
      <c r="A58" s="25">
        <v>55</v>
      </c>
      <c r="B58" s="26" t="s">
        <v>93</v>
      </c>
      <c r="C58" s="17" t="str">
        <f>HYPERLINK("https://portal.genego.com/cgi/entity_page.cgi?term=100&amp;id=2290","MAD2b")</f>
        <v>MAD2b</v>
      </c>
      <c r="D58" s="17" t="str">
        <f>HYPERLINK("https://portal.genego.com/cgi/entity_page.cgi?term=20&amp;id=-1547254005","MAD2L2")</f>
        <v>MAD2L2</v>
      </c>
      <c r="E58" s="17" t="str">
        <f>HYPERLINK("https://portal.genego.com/cgi/entity_page.cgi?term=7&amp;id=-691381888","MD2L2_HUMAN")</f>
        <v>MD2L2_HUMAN</v>
      </c>
      <c r="F58" s="15">
        <v>-7.8040011308885604E-2</v>
      </c>
      <c r="G58" s="16">
        <v>0.67726229999999998</v>
      </c>
    </row>
    <row r="59" spans="1:7" ht="60" customHeight="1" x14ac:dyDescent="0.25">
      <c r="A59" s="25">
        <v>56</v>
      </c>
      <c r="B59" s="26" t="s">
        <v>94</v>
      </c>
      <c r="C59" s="17" t="str">
        <f>HYPERLINK("https://portal.genego.com/cgi/entity_page.cgi?term=100&amp;id=-114669043","MAT1")</f>
        <v>MAT1</v>
      </c>
      <c r="D59" s="17" t="str">
        <f>HYPERLINK("https://portal.genego.com/cgi/entity_page.cgi?term=20&amp;id=-1467919068","MNAT1")</f>
        <v>MNAT1</v>
      </c>
      <c r="E59" s="17" t="str">
        <f>HYPERLINK("https://portal.genego.com/cgi/entity_page.cgi?term=7&amp;id=157205969","MAT1_HUMAN")</f>
        <v>MAT1_HUMAN</v>
      </c>
      <c r="F59" s="14">
        <v>-0.130667577157591</v>
      </c>
      <c r="G59" s="16">
        <v>0.45778000000000002</v>
      </c>
    </row>
    <row r="60" spans="1:7" ht="60" customHeight="1" x14ac:dyDescent="0.25">
      <c r="A60" s="25">
        <v>57</v>
      </c>
      <c r="B60" s="26" t="s">
        <v>95</v>
      </c>
      <c r="C60" s="17" t="str">
        <f>HYPERLINK("https://portal.genego.com/cgi/entity_page.cgi?term=100&amp;id=-1816599366","MCM10")</f>
        <v>MCM10</v>
      </c>
      <c r="D60" s="17" t="str">
        <f>HYPERLINK("https://portal.genego.com/cgi/entity_page.cgi?term=20&amp;id=55388","MCM10")</f>
        <v>MCM10</v>
      </c>
      <c r="E60" s="17" t="str">
        <f>HYPERLINK("https://portal.genego.com/cgi/entity_page.cgi?term=7&amp;id=55388","MCM10_HUMAN")</f>
        <v>MCM10_HUMAN</v>
      </c>
      <c r="F60" s="15">
        <v>-8.0027230754978002E-2</v>
      </c>
      <c r="G60" s="16">
        <v>0.66183579999999997</v>
      </c>
    </row>
    <row r="61" spans="1:7" ht="60" customHeight="1" x14ac:dyDescent="0.25">
      <c r="A61" s="25">
        <v>58</v>
      </c>
      <c r="B61" s="26" t="s">
        <v>96</v>
      </c>
      <c r="C61" s="17" t="str">
        <f>HYPERLINK("https://portal.genego.com/cgi/entity_page.cgi?term=100&amp;id=-53830653","MCM2")</f>
        <v>MCM2</v>
      </c>
      <c r="D61" s="17" t="str">
        <f>HYPERLINK("https://portal.genego.com/cgi/entity_page.cgi?term=20&amp;id=-1709613971","MCM2")</f>
        <v>MCM2</v>
      </c>
      <c r="E61" s="17" t="str">
        <f>HYPERLINK("https://portal.genego.com/cgi/entity_page.cgi?term=7&amp;id=-1587691500","MCM2_HUMAN")</f>
        <v>MCM2_HUMAN</v>
      </c>
      <c r="F61" s="11">
        <v>-0.62556282778802597</v>
      </c>
      <c r="G61" s="16">
        <v>2.2121609999999999E-5</v>
      </c>
    </row>
    <row r="62" spans="1:7" ht="60" customHeight="1" x14ac:dyDescent="0.25">
      <c r="A62" s="25">
        <v>59</v>
      </c>
      <c r="B62" s="26" t="s">
        <v>97</v>
      </c>
      <c r="C62" s="17" t="str">
        <f>HYPERLINK("https://portal.genego.com/cgi/entity_page.cgi?term=100&amp;id=-762755568","MCM3")</f>
        <v>MCM3</v>
      </c>
      <c r="D62" s="17" t="str">
        <f>HYPERLINK("https://portal.genego.com/cgi/entity_page.cgi?term=20&amp;id=-1666071814","MCM3")</f>
        <v>MCM3</v>
      </c>
      <c r="E62" s="17" t="str">
        <f>HYPERLINK("https://portal.genego.com/cgi/entity_page.cgi?term=7&amp;id=-705905010","MCM3_HUMAN")</f>
        <v>MCM3_HUMAN</v>
      </c>
      <c r="F62" s="13">
        <v>-0.293621082443418</v>
      </c>
      <c r="G62" s="16">
        <v>5.1931919999999999E-2</v>
      </c>
    </row>
    <row r="63" spans="1:7" ht="60" customHeight="1" x14ac:dyDescent="0.25">
      <c r="A63" s="25">
        <v>60</v>
      </c>
      <c r="B63" s="26" t="s">
        <v>98</v>
      </c>
      <c r="C63" s="17" t="str">
        <f>HYPERLINK("https://portal.genego.com/cgi/entity_page.cgi?term=100&amp;id=-364222907","MCM4")</f>
        <v>MCM4</v>
      </c>
      <c r="D63" s="17" t="str">
        <f>HYPERLINK("https://portal.genego.com/cgi/entity_page.cgi?term=20&amp;id=-878855083","MCM4")</f>
        <v>MCM4</v>
      </c>
      <c r="E63" s="17" t="str">
        <f>HYPERLINK("https://portal.genego.com/cgi/entity_page.cgi?term=7&amp;id=-1590747175","MCM4_HUMAN")</f>
        <v>MCM4_HUMAN</v>
      </c>
      <c r="F63" s="13">
        <v>-0.28773272366404101</v>
      </c>
      <c r="G63" s="16">
        <v>5.2730159999999998E-2</v>
      </c>
    </row>
    <row r="64" spans="1:7" ht="60" customHeight="1" x14ac:dyDescent="0.25">
      <c r="A64" s="25">
        <v>61</v>
      </c>
      <c r="B64" s="26" t="s">
        <v>99</v>
      </c>
      <c r="C64" s="17" t="str">
        <f>HYPERLINK("https://portal.genego.com/cgi/entity_page.cgi?term=100&amp;id=-1428154252","MCM5")</f>
        <v>MCM5</v>
      </c>
      <c r="D64" s="17" t="str">
        <f>HYPERLINK("https://portal.genego.com/cgi/entity_page.cgi?term=20&amp;id=-221975223","MCM5")</f>
        <v>MCM5</v>
      </c>
      <c r="E64" s="17" t="str">
        <f>HYPERLINK("https://portal.genego.com/cgi/entity_page.cgi?term=7&amp;id=430583467","MCM5_HUMAN")</f>
        <v>MCM5_HUMAN</v>
      </c>
      <c r="F64" s="12">
        <v>-0.538695880575915</v>
      </c>
      <c r="G64" s="16">
        <v>2.3296079999999999E-3</v>
      </c>
    </row>
    <row r="65" spans="1:7" ht="60" customHeight="1" x14ac:dyDescent="0.25">
      <c r="A65" s="25">
        <v>62</v>
      </c>
      <c r="B65" s="26" t="s">
        <v>100</v>
      </c>
      <c r="C65" s="17" t="str">
        <f>HYPERLINK("https://portal.genego.com/cgi/entity_page.cgi?term=100&amp;id=-826297172","MCM6")</f>
        <v>MCM6</v>
      </c>
      <c r="D65" s="17" t="str">
        <f>HYPERLINK("https://portal.genego.com/cgi/entity_page.cgi?term=20&amp;id=-1452173987","MCM6")</f>
        <v>MCM6</v>
      </c>
      <c r="E65" s="17" t="str">
        <f>HYPERLINK("https://portal.genego.com/cgi/entity_page.cgi?term=7&amp;id=-1102826838","MCM6_HUMAN")</f>
        <v>MCM6_HUMAN</v>
      </c>
      <c r="F65" s="13">
        <v>-0.30944061541328499</v>
      </c>
      <c r="G65" s="16">
        <v>6.6342419999999999E-2</v>
      </c>
    </row>
    <row r="66" spans="1:7" ht="60" customHeight="1" x14ac:dyDescent="0.25">
      <c r="A66" s="25">
        <v>63</v>
      </c>
      <c r="B66" s="26" t="s">
        <v>101</v>
      </c>
      <c r="C66" s="17" t="str">
        <f>HYPERLINK("https://portal.genego.com/cgi/entity_page.cgi?term=100&amp;id=-585873933","MCM7")</f>
        <v>MCM7</v>
      </c>
      <c r="D66" s="17" t="str">
        <f>HYPERLINK("https://portal.genego.com/cgi/entity_page.cgi?term=20&amp;id=1103772671","MCM7")</f>
        <v>MCM7</v>
      </c>
      <c r="E66" s="17" t="str">
        <f>HYPERLINK("https://portal.genego.com/cgi/entity_page.cgi?term=7&amp;id=254414708","MCM7_HUMAN")</f>
        <v>MCM7_HUMAN</v>
      </c>
      <c r="F66" s="10">
        <v>-0.84505193322204897</v>
      </c>
      <c r="G66" s="16">
        <v>2.9261889999999999E-6</v>
      </c>
    </row>
    <row r="67" spans="1:7" ht="60" customHeight="1" x14ac:dyDescent="0.25">
      <c r="A67" s="25">
        <v>64</v>
      </c>
      <c r="B67" s="26" t="s">
        <v>102</v>
      </c>
      <c r="C67" s="17" t="str">
        <f>HYPERLINK("https://portal.genego.com/cgi/entity_page.cgi?term=100&amp;id=-1310548373","MCM8")</f>
        <v>MCM8</v>
      </c>
      <c r="D67" s="17" t="str">
        <f>HYPERLINK("https://portal.genego.com/cgi/entity_page.cgi?term=20&amp;id=-1308835340","MCM8")</f>
        <v>MCM8</v>
      </c>
      <c r="E67" s="17" t="str">
        <f>HYPERLINK("https://portal.genego.com/cgi/entity_page.cgi?term=7&amp;id=1004854","MCM8_HUMAN")</f>
        <v>MCM8_HUMAN</v>
      </c>
      <c r="F67" s="7">
        <v>1.70233416278401E-2</v>
      </c>
      <c r="G67" s="16">
        <v>0.93706160000000005</v>
      </c>
    </row>
    <row r="68" spans="1:7" ht="60" customHeight="1" x14ac:dyDescent="0.25">
      <c r="A68" s="25">
        <v>65</v>
      </c>
      <c r="B68" s="26" t="s">
        <v>103</v>
      </c>
      <c r="C68" s="17" t="str">
        <f>HYPERLINK("https://portal.genego.com/cgi/entity_page.cgi?term=100&amp;id=-926014525","Nek2A")</f>
        <v>Nek2A</v>
      </c>
      <c r="D68" s="17" t="str">
        <f>HYPERLINK("https://portal.genego.com/cgi/entity_page.cgi?term=20&amp;id=-1367631598","NEK2")</f>
        <v>NEK2</v>
      </c>
      <c r="E68" s="17" t="str">
        <f>HYPERLINK("https://portal.genego.com/cgi/entity_page.cgi?term=7&amp;id=927083681","NEK2_HUMAN")</f>
        <v>NEK2_HUMAN</v>
      </c>
      <c r="F68" s="11">
        <v>-0.68735695558305798</v>
      </c>
      <c r="G68" s="16">
        <v>5.4576899999999999E-4</v>
      </c>
    </row>
    <row r="69" spans="1:7" ht="60" customHeight="1" x14ac:dyDescent="0.25">
      <c r="A69" s="25">
        <v>66</v>
      </c>
      <c r="B69" s="26" t="s">
        <v>104</v>
      </c>
      <c r="C69" s="17" t="str">
        <f>HYPERLINK("https://portal.genego.com/cgi/entity_page.cgi?term=100&amp;id=-950070407","Nek8")</f>
        <v>Nek8</v>
      </c>
      <c r="D69" s="17" t="str">
        <f>HYPERLINK("https://portal.genego.com/cgi/entity_page.cgi?term=20&amp;id=-1427020889","NEK8")</f>
        <v>NEK8</v>
      </c>
      <c r="E69" s="17" t="str">
        <f>HYPERLINK("https://portal.genego.com/cgi/entity_page.cgi?term=7&amp;id=1010558","NEK8_HUMAN")</f>
        <v>NEK8_HUMAN</v>
      </c>
      <c r="F69" s="7">
        <v>4.2377727383052198E-3</v>
      </c>
      <c r="G69" s="16">
        <v>0.98306260000000001</v>
      </c>
    </row>
    <row r="70" spans="1:7" ht="60" customHeight="1" x14ac:dyDescent="0.25">
      <c r="A70" s="25">
        <v>67</v>
      </c>
      <c r="B70" s="26" t="s">
        <v>105</v>
      </c>
      <c r="C70" s="17" t="str">
        <f>HYPERLINK("https://portal.genego.com/cgi/entity_page.cgi?term=100&amp;id=4460","ORC1L")</f>
        <v>ORC1L</v>
      </c>
      <c r="D70" s="17" t="str">
        <f>HYPERLINK("https://portal.genego.com/cgi/entity_page.cgi?term=20&amp;id=-1853737872","ORC1")</f>
        <v>ORC1</v>
      </c>
      <c r="E70" s="17" t="str">
        <f>HYPERLINK("https://portal.genego.com/cgi/entity_page.cgi?term=7&amp;id=-1823586762","ORC1_HUMAN")</f>
        <v>ORC1_HUMAN</v>
      </c>
      <c r="F70" s="14">
        <v>-0.18725448779131701</v>
      </c>
      <c r="G70" s="16">
        <v>0.31301689999999999</v>
      </c>
    </row>
    <row r="71" spans="1:7" ht="60" customHeight="1" x14ac:dyDescent="0.25">
      <c r="A71" s="25">
        <v>68</v>
      </c>
      <c r="B71" s="26" t="s">
        <v>106</v>
      </c>
      <c r="C71" s="17" t="str">
        <f>HYPERLINK("https://portal.genego.com/cgi/entity_page.cgi?term=100&amp;id=-1611304620","ORC2L")</f>
        <v>ORC2L</v>
      </c>
      <c r="D71" s="17" t="str">
        <f>HYPERLINK("https://portal.genego.com/cgi/entity_page.cgi?term=20&amp;id=-1735159144","ORC2")</f>
        <v>ORC2</v>
      </c>
      <c r="E71" s="17" t="str">
        <f>HYPERLINK("https://portal.genego.com/cgi/entity_page.cgi?term=7&amp;id=770885665","ORC2_HUMAN")</f>
        <v>ORC2_HUMAN</v>
      </c>
      <c r="F71" s="7">
        <v>1.1457723025898699E-2</v>
      </c>
      <c r="G71" s="16">
        <v>0.95711029999999997</v>
      </c>
    </row>
    <row r="72" spans="1:7" ht="60" customHeight="1" x14ac:dyDescent="0.25">
      <c r="A72" s="25">
        <v>69</v>
      </c>
      <c r="B72" s="26" t="s">
        <v>107</v>
      </c>
      <c r="C72" s="17" t="str">
        <f>HYPERLINK("https://portal.genego.com/cgi/entity_page.cgi?term=100&amp;id=-1981702354","ORC3L")</f>
        <v>ORC3L</v>
      </c>
      <c r="D72" s="17" t="str">
        <f>HYPERLINK("https://portal.genego.com/cgi/entity_page.cgi?term=20&amp;id=1116809622","ORC3")</f>
        <v>ORC3</v>
      </c>
      <c r="E72" s="17" t="str">
        <f>HYPERLINK("https://portal.genego.com/cgi/entity_page.cgi?term=7&amp;id=-245061256","ORC3_HUMAN")</f>
        <v>ORC3_HUMAN</v>
      </c>
      <c r="F72" s="3">
        <v>0.31109414049419698</v>
      </c>
      <c r="G72" s="16">
        <v>8.6655979999999994E-2</v>
      </c>
    </row>
    <row r="73" spans="1:7" ht="60" customHeight="1" x14ac:dyDescent="0.25">
      <c r="A73" s="25">
        <v>70</v>
      </c>
      <c r="B73" s="26" t="s">
        <v>108</v>
      </c>
      <c r="C73" s="17" t="str">
        <f>HYPERLINK("https://portal.genego.com/cgi/entity_page.cgi?term=100&amp;id=-52068388","ORC4L")</f>
        <v>ORC4L</v>
      </c>
      <c r="D73" s="17" t="str">
        <f>HYPERLINK("https://portal.genego.com/cgi/entity_page.cgi?term=20&amp;id=845975531","ORC4")</f>
        <v>ORC4</v>
      </c>
      <c r="E73" s="17" t="str">
        <f>HYPERLINK("https://portal.genego.com/cgi/entity_page.cgi?term=7&amp;id=1550776043","ORC4_HUMAN")</f>
        <v>ORC4_HUMAN</v>
      </c>
      <c r="F73" s="6">
        <v>7.9095196033519E-2</v>
      </c>
      <c r="G73" s="16">
        <v>0.64301229999999998</v>
      </c>
    </row>
    <row r="74" spans="1:7" ht="60" customHeight="1" x14ac:dyDescent="0.25">
      <c r="A74" s="25">
        <v>71</v>
      </c>
      <c r="B74" s="26" t="s">
        <v>109</v>
      </c>
      <c r="C74" s="17" t="str">
        <f>HYPERLINK("https://portal.genego.com/cgi/entity_page.cgi?term=100&amp;id=-319454859","ORC5L")</f>
        <v>ORC5L</v>
      </c>
      <c r="D74" s="17" t="str">
        <f>HYPERLINK("https://portal.genego.com/cgi/entity_page.cgi?term=20&amp;id=959815054","ORC5")</f>
        <v>ORC5</v>
      </c>
      <c r="E74" s="17" t="str">
        <f>HYPERLINK("https://portal.genego.com/cgi/entity_page.cgi?term=7&amp;id=-195302422","ORC5_HUMAN")</f>
        <v>ORC5_HUMAN</v>
      </c>
      <c r="F74" s="4">
        <v>0.27173518052903101</v>
      </c>
      <c r="G74" s="16">
        <v>0.15093409999999999</v>
      </c>
    </row>
    <row r="75" spans="1:7" ht="60" customHeight="1" x14ac:dyDescent="0.25">
      <c r="A75" s="25">
        <v>72</v>
      </c>
      <c r="B75" s="26" t="s">
        <v>110</v>
      </c>
      <c r="C75" s="17" t="str">
        <f>HYPERLINK("https://portal.genego.com/cgi/entity_page.cgi?term=100&amp;id=-561472741","ORC6L")</f>
        <v>ORC6L</v>
      </c>
      <c r="D75" s="17" t="str">
        <f>HYPERLINK("https://portal.genego.com/cgi/entity_page.cgi?term=20&amp;id=1772124995","ORC6")</f>
        <v>ORC6</v>
      </c>
      <c r="E75" s="17" t="str">
        <f>HYPERLINK("https://portal.genego.com/cgi/entity_page.cgi?term=7&amp;id=614505893","ORC6_HUMAN")</f>
        <v>ORC6_HUMAN</v>
      </c>
      <c r="F75" s="6">
        <v>0.11646091299874201</v>
      </c>
      <c r="G75" s="16">
        <v>0.50177150000000004</v>
      </c>
    </row>
    <row r="76" spans="1:7" ht="60" customHeight="1" x14ac:dyDescent="0.25">
      <c r="A76" s="25">
        <v>73</v>
      </c>
      <c r="B76" s="26" t="s">
        <v>111</v>
      </c>
      <c r="C76" s="17" t="str">
        <f>HYPERLINK("https://portal.genego.com/cgi/entity_page.cgi?term=100&amp;id=2637","PLK1")</f>
        <v>PLK1</v>
      </c>
      <c r="D76" s="17" t="str">
        <f>HYPERLINK("https://portal.genego.com/cgi/entity_page.cgi?term=20&amp;id=1228562513","PLK1")</f>
        <v>PLK1</v>
      </c>
      <c r="E76" s="17" t="str">
        <f>HYPERLINK("https://portal.genego.com/cgi/entity_page.cgi?term=7&amp;id=-563972735","PLK1_HUMAN")</f>
        <v>PLK1_HUMAN</v>
      </c>
      <c r="F76" s="10">
        <v>-0.86258651069203196</v>
      </c>
      <c r="G76" s="16">
        <v>3.0169639999999999E-9</v>
      </c>
    </row>
    <row r="77" spans="1:7" ht="60" customHeight="1" x14ac:dyDescent="0.25">
      <c r="A77" s="25">
        <v>74</v>
      </c>
      <c r="B77" s="26" t="s">
        <v>112</v>
      </c>
      <c r="C77" s="17" t="str">
        <f>HYPERLINK("https://portal.genego.com/cgi/entity_page.cgi?term=100&amp;id=2741","RPA1")</f>
        <v>RPA1</v>
      </c>
      <c r="D77" s="17" t="str">
        <f>HYPERLINK("https://portal.genego.com/cgi/entity_page.cgi?term=20&amp;id=198864047","RPA1")</f>
        <v>RPA1</v>
      </c>
      <c r="E77" s="17" t="str">
        <f>HYPERLINK("https://portal.genego.com/cgi/entity_page.cgi?term=7&amp;id=1236108846","RFA1_HUMAN")</f>
        <v>RFA1_HUMAN</v>
      </c>
      <c r="F77" s="15">
        <v>-8.39715414345132E-2</v>
      </c>
      <c r="G77" s="16">
        <v>0.61542909999999995</v>
      </c>
    </row>
    <row r="78" spans="1:7" ht="60" customHeight="1" x14ac:dyDescent="0.25">
      <c r="A78" s="25">
        <v>75</v>
      </c>
      <c r="B78" s="26" t="s">
        <v>113</v>
      </c>
      <c r="C78" s="17" t="str">
        <f>HYPERLINK("https://portal.genego.com/cgi/entity_page.cgi?term=100&amp;id=-1323061007","RPA2")</f>
        <v>RPA2</v>
      </c>
      <c r="D78" s="17" t="str">
        <f>HYPERLINK("https://portal.genego.com/cgi/entity_page.cgi?term=20&amp;id=-1006976767","RPA2")</f>
        <v>RPA2</v>
      </c>
      <c r="E78" s="17" t="str">
        <f>HYPERLINK("https://portal.genego.com/cgi/entity_page.cgi?term=7&amp;id=92032505","RFA2_HUMAN")</f>
        <v>RFA2_HUMAN</v>
      </c>
      <c r="F78" s="15">
        <v>-3.7766727668479598E-2</v>
      </c>
      <c r="G78" s="16">
        <v>0.84278690000000001</v>
      </c>
    </row>
    <row r="79" spans="1:7" ht="60" customHeight="1" x14ac:dyDescent="0.25">
      <c r="A79" s="25">
        <v>76</v>
      </c>
      <c r="B79" s="26" t="s">
        <v>114</v>
      </c>
      <c r="C79" s="17" t="str">
        <f>HYPERLINK("https://portal.genego.com/cgi/entity_page.cgi?term=100&amp;id=662","RPA3")</f>
        <v>RPA3</v>
      </c>
      <c r="D79" s="17" t="str">
        <f>HYPERLINK("https://portal.genego.com/cgi/entity_page.cgi?term=20&amp;id=241579655","RPA3")</f>
        <v>RPA3</v>
      </c>
      <c r="E79" s="17" t="str">
        <f>HYPERLINK("https://portal.genego.com/cgi/entity_page.cgi?term=7&amp;id=698782449","RFA3_HUMAN")</f>
        <v>RFA3_HUMAN</v>
      </c>
      <c r="F79" s="13">
        <v>-0.28895771657741798</v>
      </c>
      <c r="G79" s="16">
        <v>0.17290990000000001</v>
      </c>
    </row>
    <row r="80" spans="1:7" ht="60" customHeight="1" x14ac:dyDescent="0.25">
      <c r="A80" s="25">
        <v>77</v>
      </c>
      <c r="B80" s="26" t="s">
        <v>115</v>
      </c>
      <c r="C80" s="17" t="str">
        <f>HYPERLINK("https://portal.genego.com/cgi/entity_page.cgi?term=100&amp;id=681","Rb protein")</f>
        <v>Rb protein</v>
      </c>
      <c r="D80" s="17" t="str">
        <f>HYPERLINK("https://portal.genego.com/cgi/entity_page.cgi?term=20&amp;id=-1092607950","RB1")</f>
        <v>RB1</v>
      </c>
      <c r="E80" s="17" t="str">
        <f>HYPERLINK("https://portal.genego.com/cgi/entity_page.cgi?term=7&amp;id=48471785","RB_HUMAN")</f>
        <v>RB_HUMAN</v>
      </c>
      <c r="F80" s="7">
        <v>4.3404359358301003E-2</v>
      </c>
      <c r="G80" s="16">
        <v>0.82417110000000005</v>
      </c>
    </row>
    <row r="81" spans="1:7" ht="60" customHeight="1" x14ac:dyDescent="0.25">
      <c r="A81" s="25">
        <v>78</v>
      </c>
      <c r="B81" s="26" t="s">
        <v>116</v>
      </c>
      <c r="C81" s="17" t="str">
        <f>HYPERLINK("https://portal.genego.com/cgi/entity_page.cgi?term=100&amp;id=-1266333133","Rod")</f>
        <v>Rod</v>
      </c>
      <c r="D81" s="17" t="str">
        <f>HYPERLINK("https://portal.genego.com/cgi/entity_page.cgi?term=20&amp;id=9735","KNTC1")</f>
        <v>KNTC1</v>
      </c>
      <c r="E81" s="17" t="str">
        <f>HYPERLINK("https://portal.genego.com/cgi/entity_page.cgi?term=7&amp;id=1439265556","KNTC1_HUMAN")</f>
        <v>KNTC1_HUMAN</v>
      </c>
      <c r="F81" s="15">
        <v>-4.4170253419350998E-2</v>
      </c>
      <c r="G81" s="16">
        <v>0.81988079999999997</v>
      </c>
    </row>
    <row r="82" spans="1:7" ht="60" customHeight="1" x14ac:dyDescent="0.25">
      <c r="A82" s="25">
        <v>79</v>
      </c>
      <c r="B82" s="26" t="s">
        <v>117</v>
      </c>
      <c r="C82" s="17" t="str">
        <f>HYPERLINK("https://portal.genego.com/cgi/entity_page.cgi?term=100&amp;id=989","Securin")</f>
        <v>Securin</v>
      </c>
      <c r="D82" s="17" t="str">
        <f>HYPERLINK("https://portal.genego.com/cgi/entity_page.cgi?term=20&amp;id=1223872473","PTTG1")</f>
        <v>PTTG1</v>
      </c>
      <c r="E82" s="17" t="str">
        <f>HYPERLINK("https://portal.genego.com/cgi/entity_page.cgi?term=7&amp;id=1041731","PTTG1_HUMAN")</f>
        <v>PTTG1_HUMAN</v>
      </c>
      <c r="F82" s="9">
        <v>-1.0307868156843101</v>
      </c>
      <c r="G82" s="16">
        <v>2.5742579999999999E-8</v>
      </c>
    </row>
    <row r="83" spans="1:7" ht="60" customHeight="1" x14ac:dyDescent="0.25">
      <c r="A83" s="25">
        <v>80</v>
      </c>
      <c r="B83" s="26" t="s">
        <v>118</v>
      </c>
      <c r="C83" s="17" t="str">
        <f>HYPERLINK("https://portal.genego.com/cgi/entity_page.cgi?term=100&amp;id=-1710303399","Separase")</f>
        <v>Separase</v>
      </c>
      <c r="D83" s="17" t="str">
        <f>HYPERLINK("https://portal.genego.com/cgi/entity_page.cgi?term=20&amp;id=-323467303","ESPL1")</f>
        <v>ESPL1</v>
      </c>
      <c r="E83" s="17" t="str">
        <f>HYPERLINK("https://portal.genego.com/cgi/entity_page.cgi?term=7&amp;id=1013213","ESPL1_HUMAN")</f>
        <v>ESPL1_HUMAN</v>
      </c>
      <c r="F83" s="14">
        <v>-0.235546266094282</v>
      </c>
      <c r="G83" s="16">
        <v>0.22364490000000001</v>
      </c>
    </row>
    <row r="84" spans="1:7" ht="60" customHeight="1" x14ac:dyDescent="0.25">
      <c r="A84" s="25">
        <v>81</v>
      </c>
      <c r="B84" s="26" t="s">
        <v>119</v>
      </c>
      <c r="C84" s="17" t="str">
        <f>HYPERLINK("https://portal.genego.com/cgi/entity_page.cgi?term=100&amp;id=1142","Survivin")</f>
        <v>Survivin</v>
      </c>
      <c r="D84" s="17" t="str">
        <f>HYPERLINK("https://portal.genego.com/cgi/entity_page.cgi?term=20&amp;id=-376378123","BIRC5")</f>
        <v>BIRC5</v>
      </c>
      <c r="E84" s="17" t="str">
        <f>HYPERLINK("https://portal.genego.com/cgi/entity_page.cgi?term=7&amp;id=-38167731","BIRC5_HUMAN")</f>
        <v>BIRC5_HUMAN</v>
      </c>
      <c r="F84" s="8">
        <v>-1.2050300369751299</v>
      </c>
      <c r="G84" s="16">
        <v>8.3412710000000001E-17</v>
      </c>
    </row>
    <row r="85" spans="1:7" ht="60" customHeight="1" x14ac:dyDescent="0.25">
      <c r="A85" s="25">
        <v>82</v>
      </c>
      <c r="B85" s="26" t="s">
        <v>120</v>
      </c>
      <c r="C85" s="17" t="str">
        <f>HYPERLINK("https://portal.genego.com/cgi/entity_page.cgi?term=100&amp;id=4106","TOP1")</f>
        <v>TOP1</v>
      </c>
      <c r="D85" s="17" t="str">
        <f>HYPERLINK("https://portal.genego.com/cgi/entity_page.cgi?term=20&amp;id=-1798310046","TOP1")</f>
        <v>TOP1</v>
      </c>
      <c r="E85" s="17" t="str">
        <f>HYPERLINK("https://portal.genego.com/cgi/entity_page.cgi?term=7&amp;id=-1355284036","TOP1_HUMAN")</f>
        <v>TOP1_HUMAN</v>
      </c>
      <c r="F85" s="6">
        <v>8.5575244094168806E-2</v>
      </c>
      <c r="G85" s="16">
        <v>0.62535969999999996</v>
      </c>
    </row>
    <row r="86" spans="1:7" ht="60" customHeight="1" x14ac:dyDescent="0.25">
      <c r="A86" s="25">
        <v>83</v>
      </c>
      <c r="B86" s="26" t="s">
        <v>121</v>
      </c>
      <c r="C86" s="17" t="str">
        <f>HYPERLINK("https://portal.genego.com/cgi/entity_page.cgi?term=100&amp;id=3040","WRN")</f>
        <v>WRN</v>
      </c>
      <c r="D86" s="17" t="str">
        <f>HYPERLINK("https://portal.genego.com/cgi/entity_page.cgi?term=20&amp;id=-2051920159","WRN")</f>
        <v>WRN</v>
      </c>
      <c r="E86" s="17" t="str">
        <f>HYPERLINK("https://portal.genego.com/cgi/entity_page.cgi?term=7&amp;id=-585704005","WRN_HUMAN")</f>
        <v>WRN_HUMAN</v>
      </c>
      <c r="F86" s="4">
        <v>0.29803478723988602</v>
      </c>
      <c r="G86" s="16">
        <v>0.1385913</v>
      </c>
    </row>
    <row r="87" spans="1:7" ht="60" customHeight="1" x14ac:dyDescent="0.25">
      <c r="A87" s="25">
        <v>84</v>
      </c>
      <c r="B87" s="26" t="s">
        <v>122</v>
      </c>
      <c r="C87" s="17" t="str">
        <f>HYPERLINK("https://portal.genego.com/cgi/entity_page.cgi?term=100&amp;id=817","Wee1")</f>
        <v>Wee1</v>
      </c>
      <c r="D87" s="17" t="str">
        <f>HYPERLINK("https://portal.genego.com/cgi/entity_page.cgi?term=20&amp;id=310556658","WEE1")</f>
        <v>WEE1</v>
      </c>
      <c r="E87" s="17" t="str">
        <f>HYPERLINK("https://portal.genego.com/cgi/entity_page.cgi?term=7&amp;id=1949472210","WEE1_HUMAN")</f>
        <v>WEE1_HUMAN</v>
      </c>
      <c r="F87" s="14">
        <v>-0.209158745779811</v>
      </c>
      <c r="G87" s="16">
        <v>0.21023439999999999</v>
      </c>
    </row>
    <row r="88" spans="1:7" ht="60" customHeight="1" x14ac:dyDescent="0.25">
      <c r="A88" s="25">
        <v>85</v>
      </c>
      <c r="B88" s="26" t="s">
        <v>123</v>
      </c>
      <c r="C88" s="17" t="str">
        <f>HYPERLINK("https://portal.genego.com/cgi/entity_page.cgi?term=100&amp;id=-1446245286","ZW10")</f>
        <v>ZW10</v>
      </c>
      <c r="D88" s="17" t="str">
        <f>HYPERLINK("https://portal.genego.com/cgi/entity_page.cgi?term=20&amp;id=1559548238","ZW10")</f>
        <v>ZW10</v>
      </c>
      <c r="E88" s="17" t="str">
        <f>HYPERLINK("https://portal.genego.com/cgi/entity_page.cgi?term=7&amp;id=1606589457","ZW10_HUMAN")</f>
        <v>ZW10_HUMAN</v>
      </c>
      <c r="F88" s="15">
        <v>-9.1507558295802292E-3</v>
      </c>
      <c r="G88" s="16">
        <v>0.9646747</v>
      </c>
    </row>
    <row r="89" spans="1:7" ht="60" customHeight="1" x14ac:dyDescent="0.25">
      <c r="A89" s="25">
        <v>86</v>
      </c>
      <c r="B89" s="26" t="s">
        <v>124</v>
      </c>
      <c r="C89" s="17" t="str">
        <f>HYPERLINK("https://portal.genego.com/cgi/entity_page.cgi?term=100&amp;id=-1021860892","Zwilch")</f>
        <v>Zwilch</v>
      </c>
      <c r="D89" s="17" t="str">
        <f>HYPERLINK("https://portal.genego.com/cgi/entity_page.cgi?term=20&amp;id=55055","ZWILCH")</f>
        <v>ZWILCH</v>
      </c>
      <c r="E89" s="17" t="str">
        <f>HYPERLINK("https://portal.genego.com/cgi/entity_page.cgi?term=7&amp;id=55055","ZWILC_HUMAN")</f>
        <v>ZWILC_HUMAN</v>
      </c>
      <c r="F89" s="5">
        <v>0.146769934040303</v>
      </c>
      <c r="G89" s="16">
        <v>0.39103539999999998</v>
      </c>
    </row>
    <row r="90" spans="1:7" ht="60" customHeight="1" x14ac:dyDescent="0.25">
      <c r="A90" s="25">
        <v>87</v>
      </c>
      <c r="B90" s="26" t="s">
        <v>125</v>
      </c>
      <c r="C90" s="17" t="str">
        <f>HYPERLINK("https://portal.genego.com/cgi/entity_page.cgi?term=100&amp;id=2918","p107")</f>
        <v>p107</v>
      </c>
      <c r="D90" s="17" t="str">
        <f>HYPERLINK("https://portal.genego.com/cgi/entity_page.cgi?term=20&amp;id=1691028092","RBL1")</f>
        <v>RBL1</v>
      </c>
      <c r="E90" s="17" t="str">
        <f>HYPERLINK("https://portal.genego.com/cgi/entity_page.cgi?term=7&amp;id=1841449114","RBL1_HUMAN")</f>
        <v>RBL1_HUMAN</v>
      </c>
      <c r="F90" s="7">
        <v>1.9911275561050702E-2</v>
      </c>
      <c r="G90" s="16">
        <v>0.9184563</v>
      </c>
    </row>
    <row r="91" spans="1:7" ht="60" customHeight="1" x14ac:dyDescent="0.25">
      <c r="A91" s="25">
        <v>88</v>
      </c>
      <c r="B91" s="26" t="s">
        <v>126</v>
      </c>
      <c r="C91" s="17" t="str">
        <f>HYPERLINK("https://portal.genego.com/cgi/entity_page.cgi?term=100&amp;id=-1015439151","p130")</f>
        <v>p130</v>
      </c>
      <c r="D91" s="17" t="str">
        <f>HYPERLINK("https://portal.genego.com/cgi/entity_page.cgi?term=20&amp;id=658714014","RBL2")</f>
        <v>RBL2</v>
      </c>
      <c r="E91" s="17" t="str">
        <f>HYPERLINK("https://portal.genego.com/cgi/entity_page.cgi?term=7&amp;id=411827791","RBL2_HUMAN")</f>
        <v>RBL2_HUMAN</v>
      </c>
      <c r="F91" s="15">
        <v>-5.9366725922851402E-2</v>
      </c>
      <c r="G91" s="16">
        <v>0.75073120000000004</v>
      </c>
    </row>
    <row r="92" spans="1:7" ht="60" customHeight="1" x14ac:dyDescent="0.25">
      <c r="A92" s="25">
        <v>89</v>
      </c>
      <c r="B92" s="26" t="s">
        <v>127</v>
      </c>
      <c r="C92" s="17" t="str">
        <f>HYPERLINK("https://portal.genego.com/cgi/entity_page.cgi?term=100&amp;id=-694975657","p14ARF")</f>
        <v>p14ARF</v>
      </c>
      <c r="D92" s="17" t="str">
        <f>HYPERLINK("https://portal.genego.com/cgi/entity_page.cgi?term=20&amp;id=1783765658","CDKN2A")</f>
        <v>CDKN2A</v>
      </c>
      <c r="E92" s="17" t="str">
        <f>HYPERLINK("https://portal.genego.com/cgi/entity_page.cgi?term=7&amp;id=1016624","ARF_HUMAN")</f>
        <v>ARF_HUMAN</v>
      </c>
      <c r="F92" s="14">
        <v>-0.132210521095983</v>
      </c>
      <c r="G92" s="16">
        <v>0.45987630000000002</v>
      </c>
    </row>
    <row r="93" spans="1:7" ht="60" customHeight="1" x14ac:dyDescent="0.25">
      <c r="A93" s="25">
        <v>90</v>
      </c>
      <c r="B93" s="26" t="s">
        <v>128</v>
      </c>
      <c r="C93" s="17" t="str">
        <f>HYPERLINK("https://portal.genego.com/cgi/entity_page.cgi?term=100&amp;id=1061","p15")</f>
        <v>p15</v>
      </c>
      <c r="D93" s="17" t="str">
        <f>HYPERLINK("https://portal.genego.com/cgi/entity_page.cgi?term=20&amp;id=-1730868973","CDKN2B")</f>
        <v>CDKN2B</v>
      </c>
      <c r="E93" s="17" t="str">
        <f>HYPERLINK("https://portal.genego.com/cgi/entity_page.cgi?term=7&amp;id=397631463","CDN2B_HUMAN")</f>
        <v>CDN2B_HUMAN</v>
      </c>
      <c r="F93" s="4">
        <v>0.29352552496030099</v>
      </c>
      <c r="G93" s="16">
        <v>3.401071E-2</v>
      </c>
    </row>
    <row r="94" spans="1:7" ht="60" customHeight="1" x14ac:dyDescent="0.25">
      <c r="A94" s="25">
        <v>91</v>
      </c>
      <c r="B94" s="26" t="s">
        <v>127</v>
      </c>
      <c r="C94" s="17" t="str">
        <f>HYPERLINK("https://portal.genego.com/cgi/entity_page.cgi?term=100&amp;id=1062","p16INK4")</f>
        <v>p16INK4</v>
      </c>
      <c r="D94" s="17" t="str">
        <f>HYPERLINK("https://portal.genego.com/cgi/entity_page.cgi?term=20&amp;id=1783765658","CDKN2A")</f>
        <v>CDKN2A</v>
      </c>
      <c r="E94" s="17" t="str">
        <f>HYPERLINK("https://portal.genego.com/cgi/entity_page.cgi?term=7&amp;id=-982629192","CDN2A_HUMAN")</f>
        <v>CDN2A_HUMAN</v>
      </c>
      <c r="F94" s="14">
        <v>-0.132210521095983</v>
      </c>
      <c r="G94" s="16">
        <v>0.45987630000000002</v>
      </c>
    </row>
    <row r="95" spans="1:7" ht="60" customHeight="1" x14ac:dyDescent="0.25">
      <c r="A95" s="25">
        <v>92</v>
      </c>
      <c r="B95" s="26" t="s">
        <v>129</v>
      </c>
      <c r="C95" s="17" t="str">
        <f>HYPERLINK("https://portal.genego.com/cgi/entity_page.cgi?term=100&amp;id=1063","p18")</f>
        <v>p18</v>
      </c>
      <c r="D95" s="17" t="str">
        <f>HYPERLINK("https://portal.genego.com/cgi/entity_page.cgi?term=20&amp;id=-2020880232","CDKN2C")</f>
        <v>CDKN2C</v>
      </c>
      <c r="E95" s="17" t="str">
        <f>HYPERLINK("https://portal.genego.com/cgi/entity_page.cgi?term=7&amp;id=-1844847658","CDN2C_HUMAN")</f>
        <v>CDN2C_HUMAN</v>
      </c>
      <c r="F95" s="9">
        <v>-1.06076035736886</v>
      </c>
      <c r="G95" s="16">
        <v>1.2300679999999999E-8</v>
      </c>
    </row>
    <row r="96" spans="1:7" ht="60" customHeight="1" x14ac:dyDescent="0.25">
      <c r="A96" s="25">
        <v>93</v>
      </c>
      <c r="B96" s="26" t="s">
        <v>130</v>
      </c>
      <c r="C96" s="17" t="str">
        <f>HYPERLINK("https://portal.genego.com/cgi/entity_page.cgi?term=100&amp;id=1064","p19")</f>
        <v>p19</v>
      </c>
      <c r="D96" s="17" t="str">
        <f>HYPERLINK("https://portal.genego.com/cgi/entity_page.cgi?term=20&amp;id=-1360662552","CDKN2D")</f>
        <v>CDKN2D</v>
      </c>
      <c r="E96" s="17" t="str">
        <f>HYPERLINK("https://portal.genego.com/cgi/entity_page.cgi?term=7&amp;id=309804398","CDN2D_HUMAN")</f>
        <v>CDN2D_HUMAN</v>
      </c>
      <c r="F96" s="14">
        <v>-0.205823339532721</v>
      </c>
      <c r="G96" s="16">
        <v>0.26885310000000001</v>
      </c>
    </row>
    <row r="97" spans="1:7" ht="60" customHeight="1" x14ac:dyDescent="0.25">
      <c r="A97" s="25">
        <v>94</v>
      </c>
      <c r="B97" s="26" t="s">
        <v>131</v>
      </c>
      <c r="C97" s="17" t="str">
        <f>HYPERLINK("https://portal.genego.com/cgi/entity_page.cgi?term=100&amp;id=1065","p21")</f>
        <v>p21</v>
      </c>
      <c r="D97" s="17" t="str">
        <f>HYPERLINK("https://portal.genego.com/cgi/entity_page.cgi?term=20&amp;id=-638706686","CDKN1A")</f>
        <v>CDKN1A</v>
      </c>
      <c r="E97" s="17" t="str">
        <f>HYPERLINK("https://portal.genego.com/cgi/entity_page.cgi?term=7&amp;id=782206690","CDN1A_HUMAN")</f>
        <v>CDN1A_HUMAN</v>
      </c>
      <c r="F97" s="7">
        <v>5.5511061907203502E-3</v>
      </c>
      <c r="G97" s="16">
        <v>0.9760375</v>
      </c>
    </row>
    <row r="98" spans="1:7" ht="60" customHeight="1" x14ac:dyDescent="0.25">
      <c r="A98" s="25">
        <v>95</v>
      </c>
      <c r="B98" s="26" t="s">
        <v>132</v>
      </c>
      <c r="C98" s="17" t="str">
        <f>HYPERLINK("https://portal.genego.com/cgi/entity_page.cgi?term=100&amp;id=-1890891081","p27KIP1")</f>
        <v>p27KIP1</v>
      </c>
      <c r="D98" s="17" t="str">
        <f>HYPERLINK("https://portal.genego.com/cgi/entity_page.cgi?term=20&amp;id=463363636","CDKN1B")</f>
        <v>CDKN1B</v>
      </c>
      <c r="E98" s="17" t="str">
        <f>HYPERLINK("https://portal.genego.com/cgi/entity_page.cgi?term=7&amp;id=-2116807144","CDN1B_HUMAN")</f>
        <v>CDN1B_HUMAN</v>
      </c>
      <c r="F98" s="13">
        <v>-0.36673583893988898</v>
      </c>
      <c r="G98" s="16">
        <v>7.0181169999999999E-3</v>
      </c>
    </row>
    <row r="99" spans="1:7" ht="60" customHeight="1" x14ac:dyDescent="0.25">
      <c r="A99" s="25">
        <v>96</v>
      </c>
      <c r="B99" s="26" t="s">
        <v>133</v>
      </c>
      <c r="C99" s="17" t="str">
        <f>HYPERLINK("https://portal.genego.com/cgi/entity_page.cgi?term=100&amp;id=2231","p57")</f>
        <v>p57</v>
      </c>
      <c r="D99" s="17" t="str">
        <f>HYPERLINK("https://portal.genego.com/cgi/entity_page.cgi?term=20&amp;id=214037032","CDKN1C")</f>
        <v>CDKN1C</v>
      </c>
      <c r="E99" s="17" t="str">
        <f>HYPERLINK("https://portal.genego.com/cgi/entity_page.cgi?term=7&amp;id=-1268340240","CDN1C_HUMAN")</f>
        <v>CDN1C_HUMAN</v>
      </c>
      <c r="F99" s="14">
        <v>-9.3282640027431904E-2</v>
      </c>
      <c r="G99" s="16">
        <v>1</v>
      </c>
    </row>
  </sheetData>
  <autoFilter ref="A3:G3"/>
  <mergeCells count="2">
    <mergeCell ref="A2:E2"/>
    <mergeCell ref="F2:G2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90" workbookViewId="0"/>
  </sheetViews>
  <sheetFormatPr defaultRowHeight="15" x14ac:dyDescent="0.25"/>
  <cols>
    <col min="1" max="2" width="19" customWidth="1"/>
    <col min="3" max="4" width="9" customWidth="1"/>
    <col min="5" max="6" width="19" customWidth="1"/>
    <col min="7" max="7" width="9" customWidth="1"/>
  </cols>
  <sheetData>
    <row r="1" spans="1:2" ht="21" customHeight="1" x14ac:dyDescent="0.3">
      <c r="A1" s="18" t="s">
        <v>0</v>
      </c>
    </row>
    <row r="2" spans="1:2" ht="18" customHeight="1" x14ac:dyDescent="0.25">
      <c r="A2" s="19" t="s">
        <v>1</v>
      </c>
    </row>
    <row r="3" spans="1:2" ht="15" customHeight="1" x14ac:dyDescent="0.25">
      <c r="A3" s="20" t="s">
        <v>2</v>
      </c>
      <c r="B3" s="21" t="s">
        <v>3</v>
      </c>
    </row>
    <row r="4" spans="1:2" ht="15" customHeight="1" x14ac:dyDescent="0.25">
      <c r="A4" s="20" t="s">
        <v>4</v>
      </c>
      <c r="B4" s="21" t="s">
        <v>5</v>
      </c>
    </row>
    <row r="5" spans="1:2" ht="15" customHeight="1" x14ac:dyDescent="0.25">
      <c r="A5" s="20" t="s">
        <v>6</v>
      </c>
      <c r="B5" s="21" t="s">
        <v>7</v>
      </c>
    </row>
    <row r="6" spans="1:2" ht="15" customHeight="1" x14ac:dyDescent="0.25">
      <c r="A6" s="20" t="s">
        <v>8</v>
      </c>
      <c r="B6" s="21" t="s">
        <v>9</v>
      </c>
    </row>
    <row r="7" spans="1:2" ht="15" customHeight="1" x14ac:dyDescent="0.25">
      <c r="A7" s="20" t="s">
        <v>10</v>
      </c>
      <c r="B7" s="21" t="s">
        <v>11</v>
      </c>
    </row>
    <row r="9" spans="1:2" ht="18" customHeight="1" x14ac:dyDescent="0.25">
      <c r="A9" s="19" t="s">
        <v>12</v>
      </c>
    </row>
    <row r="10" spans="1:2" ht="15" customHeight="1" x14ac:dyDescent="0.25">
      <c r="A10" s="20" t="s">
        <v>13</v>
      </c>
      <c r="B10" s="21" t="s">
        <v>14</v>
      </c>
    </row>
    <row r="11" spans="1:2" ht="15" customHeight="1" x14ac:dyDescent="0.25">
      <c r="A11" s="20" t="s">
        <v>15</v>
      </c>
      <c r="B11" s="21" t="s">
        <v>16</v>
      </c>
    </row>
    <row r="12" spans="1:2" ht="15" customHeight="1" x14ac:dyDescent="0.25">
      <c r="A12" s="20" t="s">
        <v>17</v>
      </c>
      <c r="B12" s="21" t="s">
        <v>16</v>
      </c>
    </row>
    <row r="13" spans="1:2" ht="15" customHeight="1" x14ac:dyDescent="0.25">
      <c r="A13" s="20" t="s">
        <v>18</v>
      </c>
      <c r="B13" s="21" t="s">
        <v>16</v>
      </c>
    </row>
    <row r="14" spans="1:2" ht="15" customHeight="1" x14ac:dyDescent="0.25">
      <c r="A14" s="20" t="s">
        <v>19</v>
      </c>
      <c r="B14" s="21" t="s">
        <v>16</v>
      </c>
    </row>
    <row r="16" spans="1:2" ht="18" customHeight="1" x14ac:dyDescent="0.25">
      <c r="A16" s="19" t="s">
        <v>20</v>
      </c>
    </row>
    <row r="17" spans="1:7" ht="15" customHeight="1" x14ac:dyDescent="0.25">
      <c r="A17" s="20" t="s">
        <v>21</v>
      </c>
      <c r="B17" s="20" t="s">
        <v>22</v>
      </c>
      <c r="C17" s="20" t="s">
        <v>23</v>
      </c>
      <c r="D17" s="20" t="s">
        <v>24</v>
      </c>
    </row>
    <row r="18" spans="1:7" ht="15" customHeight="1" x14ac:dyDescent="0.25">
      <c r="A18" s="21" t="s">
        <v>27</v>
      </c>
      <c r="B18" s="21" t="s">
        <v>28</v>
      </c>
      <c r="C18" s="21" t="s">
        <v>29</v>
      </c>
      <c r="F18" s="22" t="s">
        <v>25</v>
      </c>
      <c r="G18" s="22">
        <v>0.57999999999999996</v>
      </c>
    </row>
    <row r="19" spans="1:7" ht="15" customHeight="1" x14ac:dyDescent="0.25">
      <c r="F19" s="22" t="s">
        <v>26</v>
      </c>
      <c r="G19" s="22">
        <v>0.05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 Report</vt:lpstr>
      <vt:lpstr>Info</vt:lpstr>
      <vt:lpstr>'List Report'!_FilterDatabase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u0139097</dc:creator>
  <cp:lastModifiedBy>Charlie</cp:lastModifiedBy>
  <dcterms:created xsi:type="dcterms:W3CDTF">2015-03-10T11:08:29Z</dcterms:created>
  <dcterms:modified xsi:type="dcterms:W3CDTF">2021-01-17T01:04:03Z</dcterms:modified>
</cp:coreProperties>
</file>