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erge\OneDrive\Documents\UMSAE Formula Electric\2020\LTspice Simulations\TSAL\"/>
    </mc:Choice>
  </mc:AlternateContent>
  <xr:revisionPtr revIDLastSave="22" documentId="11_4CA86E577E10790224882217B6EE6B052517EA89" xr6:coauthVersionLast="44" xr6:coauthVersionMax="44" xr10:uidLastSave="{16E09857-0242-41CD-84AD-1CF3F9E3E641}"/>
  <bookViews>
    <workbookView xWindow="-98" yWindow="-98" windowWidth="22695" windowHeight="14595" activeTab="1" xr2:uid="{00000000-000D-0000-FFFF-FFFF00000000}"/>
  </bookViews>
  <sheets>
    <sheet name="Calculator Great Scott" sheetId="2" r:id="rId1"/>
    <sheet name="LT Spice Great Scott" sheetId="1" r:id="rId2"/>
    <sheet name="LT Spice Skinny R&amp;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22" i="1" l="1"/>
  <c r="O22" i="1"/>
  <c r="N22" i="1" l="1"/>
  <c r="K22" i="1"/>
  <c r="R22" i="1" s="1"/>
  <c r="F14" i="2" l="1"/>
  <c r="E14" i="2"/>
  <c r="E5" i="2"/>
  <c r="C10" i="2" s="1"/>
  <c r="D10" i="2" l="1"/>
  <c r="E10" i="2" s="1"/>
  <c r="G11" i="1"/>
  <c r="J11" i="1" s="1"/>
  <c r="H11" i="1"/>
  <c r="I11" i="1" s="1"/>
  <c r="K11" i="1"/>
  <c r="P11" i="1" s="1"/>
  <c r="N11" i="1"/>
  <c r="K21" i="1"/>
  <c r="P21" i="1" s="1"/>
  <c r="G18" i="1"/>
  <c r="J18" i="1" s="1"/>
  <c r="H18" i="1"/>
  <c r="I18" i="1" s="1"/>
  <c r="K18" i="1"/>
  <c r="P18" i="1" s="1"/>
  <c r="N18" i="1"/>
  <c r="G19" i="1"/>
  <c r="J19" i="1" s="1"/>
  <c r="H19" i="1"/>
  <c r="I19" i="1" s="1"/>
  <c r="K19" i="1"/>
  <c r="R19" i="1" s="1"/>
  <c r="N19" i="1"/>
  <c r="G20" i="1"/>
  <c r="J20" i="1" s="1"/>
  <c r="H20" i="1"/>
  <c r="I20" i="1" s="1"/>
  <c r="K20" i="1"/>
  <c r="O20" i="1" s="1"/>
  <c r="N20" i="1"/>
  <c r="G21" i="1"/>
  <c r="J21" i="1" s="1"/>
  <c r="H21" i="1"/>
  <c r="I21" i="1" s="1"/>
  <c r="N21" i="1"/>
  <c r="K16" i="1"/>
  <c r="P16" i="1" s="1"/>
  <c r="K17" i="1"/>
  <c r="P17" i="1" s="1"/>
  <c r="K15" i="1"/>
  <c r="R15" i="1" s="1"/>
  <c r="G17" i="1"/>
  <c r="J17" i="1" s="1"/>
  <c r="H17" i="1"/>
  <c r="I17" i="1"/>
  <c r="N17" i="1"/>
  <c r="N16" i="1"/>
  <c r="O16" i="1"/>
  <c r="H16" i="1"/>
  <c r="I16" i="1" s="1"/>
  <c r="G16" i="1"/>
  <c r="J16" i="1" s="1"/>
  <c r="H15" i="1"/>
  <c r="I15" i="1" s="1"/>
  <c r="G15" i="1"/>
  <c r="J15" i="1" s="1"/>
  <c r="N15" i="1"/>
  <c r="N4" i="1"/>
  <c r="N6" i="1"/>
  <c r="N7" i="1"/>
  <c r="N8" i="1"/>
  <c r="N9" i="1"/>
  <c r="N10" i="1"/>
  <c r="N3" i="1"/>
  <c r="H8" i="1"/>
  <c r="I8" i="1" s="1"/>
  <c r="H9" i="1"/>
  <c r="I9" i="1" s="1"/>
  <c r="H10" i="1"/>
  <c r="I10" i="1" s="1"/>
  <c r="H7" i="1"/>
  <c r="I7" i="1" s="1"/>
  <c r="H6" i="1"/>
  <c r="I6" i="1" s="1"/>
  <c r="H5" i="1"/>
  <c r="I5" i="1" s="1"/>
  <c r="H4" i="1"/>
  <c r="I4" i="1" s="1"/>
  <c r="H3" i="1"/>
  <c r="I3" i="1" s="1"/>
  <c r="B5" i="1"/>
  <c r="N5" i="1" s="1"/>
  <c r="A5" i="1"/>
  <c r="G4" i="1"/>
  <c r="J4" i="1" s="1"/>
  <c r="K4" i="1"/>
  <c r="R4" i="1" s="1"/>
  <c r="G5" i="1"/>
  <c r="J5" i="1" s="1"/>
  <c r="G6" i="1"/>
  <c r="J6" i="1" s="1"/>
  <c r="K6" i="1"/>
  <c r="O6" i="1" s="1"/>
  <c r="G7" i="1"/>
  <c r="J7" i="1" s="1"/>
  <c r="K7" i="1"/>
  <c r="P7" i="1" s="1"/>
  <c r="G8" i="1"/>
  <c r="J8" i="1" s="1"/>
  <c r="K8" i="1"/>
  <c r="R8" i="1" s="1"/>
  <c r="G9" i="1"/>
  <c r="J9" i="1" s="1"/>
  <c r="K9" i="1"/>
  <c r="O9" i="1" s="1"/>
  <c r="G10" i="1"/>
  <c r="J10" i="1" s="1"/>
  <c r="K10" i="1"/>
  <c r="O10" i="1" s="1"/>
  <c r="K3" i="1"/>
  <c r="J3" i="1"/>
  <c r="G3" i="1"/>
  <c r="R17" i="1" l="1"/>
  <c r="Q3" i="1"/>
  <c r="R16" i="1"/>
  <c r="O11" i="1"/>
  <c r="O3" i="1"/>
  <c r="R18" i="1"/>
  <c r="S18" i="1" s="1"/>
  <c r="R11" i="1"/>
  <c r="S11" i="1" s="1"/>
  <c r="R3" i="1"/>
  <c r="S3" i="1" s="1"/>
  <c r="O18" i="1"/>
  <c r="K5" i="1"/>
  <c r="O5" i="1" s="1"/>
  <c r="Q11" i="1"/>
  <c r="Q16" i="1"/>
  <c r="Q18" i="1"/>
  <c r="Q7" i="1"/>
  <c r="R21" i="1"/>
  <c r="S21" i="1" s="1"/>
  <c r="O21" i="1"/>
  <c r="R20" i="1"/>
  <c r="S20" i="1" s="1"/>
  <c r="S19" i="1"/>
  <c r="Q21" i="1"/>
  <c r="P19" i="1"/>
  <c r="Q19" i="1" s="1"/>
  <c r="P20" i="1"/>
  <c r="Q20" i="1" s="1"/>
  <c r="O19" i="1"/>
  <c r="S15" i="1"/>
  <c r="P15" i="1"/>
  <c r="Q15" i="1" s="1"/>
  <c r="S16" i="1"/>
  <c r="S17" i="1"/>
  <c r="O17" i="1"/>
  <c r="R10" i="1"/>
  <c r="S10" i="1" s="1"/>
  <c r="Q17" i="1"/>
  <c r="O7" i="1"/>
  <c r="R7" i="1"/>
  <c r="S7" i="1" s="1"/>
  <c r="S8" i="1"/>
  <c r="S4" i="1"/>
  <c r="P5" i="1"/>
  <c r="Q5" i="1" s="1"/>
  <c r="P8" i="1"/>
  <c r="Q8" i="1" s="1"/>
  <c r="P4" i="1"/>
  <c r="Q4" i="1" s="1"/>
  <c r="R9" i="1"/>
  <c r="S9" i="1" s="1"/>
  <c r="O15" i="1"/>
  <c r="P6" i="1"/>
  <c r="Q6" i="1" s="1"/>
  <c r="P9" i="1"/>
  <c r="Q9" i="1" s="1"/>
  <c r="R6" i="1"/>
  <c r="S6" i="1" s="1"/>
  <c r="P10" i="1"/>
  <c r="Q10" i="1" s="1"/>
  <c r="O8" i="1"/>
  <c r="O4" i="1"/>
  <c r="R5" i="1" l="1"/>
  <c r="S5" i="1" s="1"/>
</calcChain>
</file>

<file path=xl/sharedStrings.xml><?xml version="1.0" encoding="utf-8"?>
<sst xmlns="http://schemas.openxmlformats.org/spreadsheetml/2006/main" count="63" uniqueCount="53">
  <si>
    <t>R1</t>
  </si>
  <si>
    <t>R2</t>
  </si>
  <si>
    <t>C1</t>
  </si>
  <si>
    <t>t1</t>
  </si>
  <si>
    <t>t2</t>
  </si>
  <si>
    <t>t3</t>
  </si>
  <si>
    <t>pulse duration</t>
  </si>
  <si>
    <t>frequency</t>
  </si>
  <si>
    <t>Duty Cycle</t>
  </si>
  <si>
    <t>Sum of R1 and R2</t>
  </si>
  <si>
    <t>Time between</t>
  </si>
  <si>
    <t>Variables</t>
  </si>
  <si>
    <t>Simulated Times</t>
  </si>
  <si>
    <t>Calculations of simulations</t>
  </si>
  <si>
    <t>Theoretical Calculations</t>
  </si>
  <si>
    <t>F error</t>
  </si>
  <si>
    <t>Dt</t>
  </si>
  <si>
    <t>pulse</t>
  </si>
  <si>
    <t>Duty</t>
  </si>
  <si>
    <t>duty error</t>
  </si>
  <si>
    <t>Frequency:</t>
  </si>
  <si>
    <t>=1/(0.8*C*(R1+R2)</t>
  </si>
  <si>
    <t>=R1/(R1+R2)</t>
  </si>
  <si>
    <t>=1/(0.65*C*(R1+R2)</t>
  </si>
  <si>
    <t>k constant</t>
  </si>
  <si>
    <t>Capacitor (uF)</t>
  </si>
  <si>
    <t>Sum of Resistors (kohms)</t>
  </si>
  <si>
    <t>Instructions</t>
  </si>
  <si>
    <t>1. Choose a frequency, capacitor and reasonable k constant value (start with 0.8)</t>
  </si>
  <si>
    <t>Frequency (hz)</t>
  </si>
  <si>
    <t>2. Choose a Duty Cycle, values for R1 and R2 will automatically populate</t>
  </si>
  <si>
    <t>R1 (kohms)</t>
  </si>
  <si>
    <t>R2 (kohms)</t>
  </si>
  <si>
    <t>Estimated Frequency</t>
  </si>
  <si>
    <t>Estimated Duty Cycle</t>
  </si>
  <si>
    <t>3. Choose standard values based on the numbers found above. They can be played around with as much as desired.</t>
  </si>
  <si>
    <t>Note that the k value will likely be lower than 0.8, this has the effect that the true frequency will be larger than expected.</t>
  </si>
  <si>
    <t>(Again, start with 0.8, and lower it to see what effect it has and if it is within desired tolerances)</t>
  </si>
  <si>
    <t>TSAL Value selector</t>
  </si>
  <si>
    <t>Serge Girouard</t>
  </si>
  <si>
    <t>V 1.0</t>
  </si>
  <si>
    <t>Version</t>
  </si>
  <si>
    <t>Updated by</t>
  </si>
  <si>
    <t>Changes Made</t>
  </si>
  <si>
    <t>Created document</t>
  </si>
  <si>
    <t>Date Updated</t>
  </si>
  <si>
    <t>General Notes:</t>
  </si>
  <si>
    <t>Highlighted cells are parameters to change</t>
  </si>
  <si>
    <t>The governing equations are:</t>
  </si>
  <si>
    <t>Using a diode model now (diode MBRS340), k ~ 0.65</t>
  </si>
  <si>
    <t>(ignoring diode effects for duty cycle equation)</t>
  </si>
  <si>
    <t>LTSPice circuit</t>
  </si>
  <si>
    <t>Example of Simulation results and time points (displaying Vout)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</si>
</sst>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left"/>
    </xf>
    <xf numFmtId="0" fontId="1" fillId="2" borderId="1" xfId="2" applyBorder="1" applyAlignment="1">
      <alignment horizontal="center" vertical="center"/>
    </xf>
    <xf numFmtId="2" fontId="1" fillId="2" borderId="1" xfId="2" applyNumberFormat="1" applyBorder="1" applyAlignment="1">
      <alignment horizontal="center" vertical="center"/>
    </xf>
    <xf numFmtId="9" fontId="1" fillId="2" borderId="1" xfId="2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40% - Accent1" xfId="2" builtinId="3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460343</xdr:colOff>
      <xdr:row>16</xdr:row>
      <xdr:rowOff>189388</xdr:rowOff>
    </xdr:from>
    <xdr:ext cx="1351332" cy="517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0890218" y="3342163"/>
              <a:ext cx="1351332" cy="517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CA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CA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CA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CA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CA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</m:oMath>
                </m:oMathPara>
              </a14:m>
              <a:endParaRPr lang="en-CA" sz="1100" b="0"/>
            </a:p>
            <a:p>
              <a:endParaRPr lang="en-CA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890218" y="3342163"/>
              <a:ext cx="1351332" cy="517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𝐹=1/(𝐶∗(𝑅_1+𝑅_2 )∗𝑘)</a:t>
              </a:r>
              <a:endParaRPr lang="en-CA" sz="1100" b="0"/>
            </a:p>
            <a:p>
              <a:endParaRPr lang="en-CA" sz="1100"/>
            </a:p>
          </xdr:txBody>
        </xdr:sp>
      </mc:Fallback>
    </mc:AlternateContent>
    <xdr:clientData/>
  </xdr:oneCellAnchor>
  <xdr:oneCellAnchor>
    <xdr:from>
      <xdr:col>12</xdr:col>
      <xdr:colOff>298418</xdr:colOff>
      <xdr:row>16</xdr:row>
      <xdr:rowOff>170338</xdr:rowOff>
    </xdr:from>
    <xdr:ext cx="991425" cy="516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2518993" y="3323113"/>
              <a:ext cx="991425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CA" sz="1100" b="0"/>
            </a:p>
            <a:p>
              <a:endParaRPr lang="en-CA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518993" y="3323113"/>
              <a:ext cx="991425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𝐷=𝑅_1/(𝑅_1+𝑅_2 )</a:t>
              </a:r>
              <a:endParaRPr lang="en-CA" sz="1100" b="0"/>
            </a:p>
            <a:p>
              <a:endParaRPr lang="en-CA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23</xdr:row>
      <xdr:rowOff>57150</xdr:rowOff>
    </xdr:from>
    <xdr:to>
      <xdr:col>11</xdr:col>
      <xdr:colOff>604838</xdr:colOff>
      <xdr:row>41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4438650"/>
          <a:ext cx="8110538" cy="3395663"/>
        </a:xfrm>
        <a:prstGeom prst="rect">
          <a:avLst/>
        </a:prstGeom>
      </xdr:spPr>
    </xdr:pic>
    <xdr:clientData/>
  </xdr:twoCellAnchor>
  <xdr:twoCellAnchor editAs="oneCell">
    <xdr:from>
      <xdr:col>13</xdr:col>
      <xdr:colOff>35700</xdr:colOff>
      <xdr:row>23</xdr:row>
      <xdr:rowOff>45225</xdr:rowOff>
    </xdr:from>
    <xdr:to>
      <xdr:col>18</xdr:col>
      <xdr:colOff>383363</xdr:colOff>
      <xdr:row>46</xdr:row>
      <xdr:rowOff>154763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5925" y="4426725"/>
          <a:ext cx="3424238" cy="4491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C30" sqref="C30"/>
    </sheetView>
  </sheetViews>
  <sheetFormatPr defaultRowHeight="14.25" x14ac:dyDescent="0.45"/>
  <cols>
    <col min="1" max="1" width="11.1328125" bestFit="1" customWidth="1"/>
    <col min="2" max="2" width="15.73046875" bestFit="1" customWidth="1"/>
    <col min="3" max="3" width="23.73046875" bestFit="1" customWidth="1"/>
    <col min="4" max="4" width="10.86328125" bestFit="1" customWidth="1"/>
    <col min="5" max="5" width="23.73046875" bestFit="1" customWidth="1"/>
    <col min="6" max="6" width="19.86328125" bestFit="1" customWidth="1"/>
    <col min="7" max="7" width="12.59765625" customWidth="1"/>
    <col min="8" max="8" width="11.265625" customWidth="1"/>
    <col min="9" max="9" width="14.265625" bestFit="1" customWidth="1"/>
    <col min="10" max="10" width="13.265625" bestFit="1" customWidth="1"/>
    <col min="11" max="11" width="17.73046875" bestFit="1" customWidth="1"/>
  </cols>
  <sheetData>
    <row r="1" spans="1:12" ht="23.25" x14ac:dyDescent="0.7">
      <c r="H1" s="15" t="s">
        <v>38</v>
      </c>
      <c r="I1" s="15"/>
      <c r="J1" s="15"/>
      <c r="K1" s="15"/>
      <c r="L1" s="15"/>
    </row>
    <row r="3" spans="1:12" x14ac:dyDescent="0.45">
      <c r="H3" t="s">
        <v>27</v>
      </c>
    </row>
    <row r="4" spans="1:12" x14ac:dyDescent="0.45">
      <c r="B4" s="5" t="s">
        <v>29</v>
      </c>
      <c r="C4" s="5" t="s">
        <v>25</v>
      </c>
      <c r="D4" s="5" t="s">
        <v>24</v>
      </c>
      <c r="E4" s="5" t="s">
        <v>26</v>
      </c>
      <c r="H4" t="s">
        <v>28</v>
      </c>
    </row>
    <row r="5" spans="1:12" x14ac:dyDescent="0.45">
      <c r="B5" s="12">
        <v>3</v>
      </c>
      <c r="C5" s="13">
        <v>15</v>
      </c>
      <c r="D5" s="12">
        <v>0.8</v>
      </c>
      <c r="E5" s="6">
        <f>1/(D5*C5*B5)*1000</f>
        <v>27.777777777777775</v>
      </c>
    </row>
    <row r="6" spans="1:12" x14ac:dyDescent="0.45">
      <c r="B6" s="7"/>
      <c r="C6" s="7"/>
      <c r="D6" s="7"/>
      <c r="E6" s="7"/>
    </row>
    <row r="7" spans="1:12" x14ac:dyDescent="0.45">
      <c r="B7" s="7"/>
      <c r="C7" s="7"/>
      <c r="D7" s="7"/>
      <c r="E7" s="7"/>
    </row>
    <row r="8" spans="1:12" x14ac:dyDescent="0.45">
      <c r="B8" s="7"/>
      <c r="C8" s="7"/>
      <c r="D8" s="7"/>
      <c r="E8" s="7"/>
    </row>
    <row r="9" spans="1:12" x14ac:dyDescent="0.45">
      <c r="B9" s="5" t="s">
        <v>8</v>
      </c>
      <c r="C9" s="5" t="s">
        <v>26</v>
      </c>
      <c r="D9" s="5" t="s">
        <v>31</v>
      </c>
      <c r="E9" s="5" t="s">
        <v>32</v>
      </c>
      <c r="H9" s="8" t="s">
        <v>30</v>
      </c>
    </row>
    <row r="10" spans="1:12" x14ac:dyDescent="0.45">
      <c r="B10" s="14">
        <v>0.25</v>
      </c>
      <c r="C10" s="6">
        <f>E5</f>
        <v>27.777777777777775</v>
      </c>
      <c r="D10" s="6">
        <f>C10*B10</f>
        <v>6.9444444444444438</v>
      </c>
      <c r="E10" s="6">
        <f>C10-D10</f>
        <v>20.833333333333332</v>
      </c>
    </row>
    <row r="12" spans="1:12" x14ac:dyDescent="0.45">
      <c r="A12" s="1"/>
    </row>
    <row r="13" spans="1:12" x14ac:dyDescent="0.45">
      <c r="B13" s="5" t="s">
        <v>25</v>
      </c>
      <c r="C13" s="5" t="s">
        <v>31</v>
      </c>
      <c r="D13" s="5" t="s">
        <v>32</v>
      </c>
      <c r="E13" s="5" t="s">
        <v>33</v>
      </c>
      <c r="F13" s="5" t="s">
        <v>34</v>
      </c>
      <c r="H13" s="8" t="s">
        <v>35</v>
      </c>
    </row>
    <row r="14" spans="1:12" x14ac:dyDescent="0.45">
      <c r="B14" s="12">
        <v>15</v>
      </c>
      <c r="C14" s="12">
        <v>8.1999999999999993</v>
      </c>
      <c r="D14" s="12">
        <v>24</v>
      </c>
      <c r="E14" s="10">
        <f>1/(B14*(C14+D14)*D5)*1000</f>
        <v>2.5879917184265007</v>
      </c>
      <c r="F14" s="9">
        <f>C14/(C14+D14)</f>
        <v>0.25465838509316768</v>
      </c>
      <c r="H14" t="s">
        <v>36</v>
      </c>
    </row>
    <row r="15" spans="1:12" x14ac:dyDescent="0.45">
      <c r="H15" t="s">
        <v>37</v>
      </c>
    </row>
    <row r="17" spans="8:11" x14ac:dyDescent="0.45">
      <c r="H17" t="s">
        <v>46</v>
      </c>
    </row>
    <row r="18" spans="8:11" x14ac:dyDescent="0.45">
      <c r="H18" t="s">
        <v>47</v>
      </c>
    </row>
    <row r="19" spans="8:11" x14ac:dyDescent="0.45">
      <c r="H19" t="s">
        <v>48</v>
      </c>
    </row>
    <row r="20" spans="8:11" x14ac:dyDescent="0.45">
      <c r="H20" t="s">
        <v>50</v>
      </c>
    </row>
    <row r="25" spans="8:11" x14ac:dyDescent="0.45">
      <c r="H25" t="s">
        <v>41</v>
      </c>
      <c r="I25" t="s">
        <v>42</v>
      </c>
      <c r="J25" t="s">
        <v>45</v>
      </c>
      <c r="K25" t="s">
        <v>43</v>
      </c>
    </row>
    <row r="26" spans="8:11" x14ac:dyDescent="0.45">
      <c r="H26" t="s">
        <v>40</v>
      </c>
      <c r="I26" t="s">
        <v>39</v>
      </c>
      <c r="J26" s="11">
        <v>43651</v>
      </c>
      <c r="K26" t="s">
        <v>44</v>
      </c>
    </row>
  </sheetData>
  <mergeCells count="1">
    <mergeCell ref="H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"/>
  <sheetViews>
    <sheetView tabSelected="1" topLeftCell="F1" workbookViewId="0">
      <selection activeCell="P3" sqref="P3"/>
    </sheetView>
  </sheetViews>
  <sheetFormatPr defaultRowHeight="14.25" x14ac:dyDescent="0.45"/>
  <cols>
    <col min="1" max="1" width="10.86328125" bestFit="1" customWidth="1"/>
    <col min="7" max="7" width="14" bestFit="1" customWidth="1"/>
    <col min="8" max="8" width="14" customWidth="1"/>
    <col min="9" max="9" width="12" bestFit="1" customWidth="1"/>
    <col min="10" max="10" width="10.265625" bestFit="1" customWidth="1"/>
    <col min="11" max="11" width="16.1328125" bestFit="1" customWidth="1"/>
    <col min="14" max="14" width="8.1328125" customWidth="1"/>
    <col min="15" max="15" width="7.1328125" customWidth="1"/>
    <col min="16" max="16" width="10" customWidth="1"/>
    <col min="17" max="17" width="11.73046875" customWidth="1"/>
  </cols>
  <sheetData>
    <row r="1" spans="1:23" x14ac:dyDescent="0.45">
      <c r="A1" s="16" t="s">
        <v>11</v>
      </c>
      <c r="B1" s="16"/>
      <c r="C1" s="16"/>
      <c r="D1" s="16" t="s">
        <v>12</v>
      </c>
      <c r="E1" s="16"/>
      <c r="F1" s="16"/>
      <c r="G1" s="16" t="s">
        <v>13</v>
      </c>
      <c r="H1" s="16"/>
      <c r="I1" s="16"/>
      <c r="J1" s="16"/>
      <c r="K1" s="16"/>
      <c r="N1" s="16" t="s">
        <v>14</v>
      </c>
      <c r="O1" s="16"/>
      <c r="P1" s="16"/>
      <c r="Q1" s="16"/>
      <c r="R1" s="16"/>
      <c r="S1" s="16"/>
    </row>
    <row r="2" spans="1:23" x14ac:dyDescent="0.4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10</v>
      </c>
      <c r="I2" t="s">
        <v>7</v>
      </c>
      <c r="J2" t="s">
        <v>8</v>
      </c>
      <c r="K2" t="s">
        <v>9</v>
      </c>
      <c r="N2" t="s">
        <v>17</v>
      </c>
      <c r="O2" t="s">
        <v>16</v>
      </c>
      <c r="P2" t="s">
        <v>7</v>
      </c>
      <c r="Q2" t="s">
        <v>15</v>
      </c>
      <c r="R2" t="s">
        <v>18</v>
      </c>
      <c r="S2" t="s">
        <v>19</v>
      </c>
    </row>
    <row r="3" spans="1:23" x14ac:dyDescent="0.45">
      <c r="A3">
        <v>27000</v>
      </c>
      <c r="B3">
        <v>5100</v>
      </c>
      <c r="C3" s="1">
        <v>1.5E-5</v>
      </c>
      <c r="D3">
        <v>0.23</v>
      </c>
      <c r="E3">
        <v>0.28999999999999998</v>
      </c>
      <c r="F3">
        <v>0.60499999999999998</v>
      </c>
      <c r="G3">
        <f>E3-D3</f>
        <v>5.999999999999997E-2</v>
      </c>
      <c r="H3">
        <f>F3-D3</f>
        <v>0.375</v>
      </c>
      <c r="I3" s="3">
        <f>1/H3</f>
        <v>2.6666666666666665</v>
      </c>
      <c r="J3" s="2">
        <f>G3/(F3-D3)</f>
        <v>0.15999999999999992</v>
      </c>
      <c r="K3">
        <f>A3+B3</f>
        <v>32100</v>
      </c>
      <c r="M3" s="1"/>
      <c r="N3" s="3">
        <f t="shared" ref="N3:N11" si="0">C3*B3*0.8</f>
        <v>6.1200000000000004E-2</v>
      </c>
      <c r="O3" s="3">
        <f t="shared" ref="O3:O11" si="1">C3*K3*0.8</f>
        <v>0.38520000000000004</v>
      </c>
      <c r="P3" s="3">
        <f>1/(0.8*K3*C3)</f>
        <v>2.5960539979231569</v>
      </c>
      <c r="Q3" s="2">
        <f t="shared" ref="Q3:Q11" si="2">(I3-P3)/P3</f>
        <v>2.7199999999999887E-2</v>
      </c>
      <c r="R3" s="2">
        <f>B3/K3</f>
        <v>0.15887850467289719</v>
      </c>
      <c r="S3" s="2">
        <f>(J3-R3)/R3</f>
        <v>7.0588235294113261E-3</v>
      </c>
      <c r="V3" s="3"/>
    </row>
    <row r="4" spans="1:23" x14ac:dyDescent="0.45">
      <c r="A4">
        <v>20000</v>
      </c>
      <c r="B4">
        <v>12100</v>
      </c>
      <c r="C4" s="1">
        <v>1.5E-5</v>
      </c>
      <c r="D4">
        <v>0.108</v>
      </c>
      <c r="E4">
        <v>0.25</v>
      </c>
      <c r="F4">
        <v>0.48399999999999999</v>
      </c>
      <c r="G4">
        <f t="shared" ref="G4:G10" si="3">E4-D4</f>
        <v>0.14200000000000002</v>
      </c>
      <c r="H4">
        <f>F4-D4</f>
        <v>0.376</v>
      </c>
      <c r="I4" s="3">
        <f>1/H4</f>
        <v>2.6595744680851063</v>
      </c>
      <c r="J4" s="2">
        <f t="shared" ref="J4:J10" si="4">G4/(F4-D4)</f>
        <v>0.37765957446808512</v>
      </c>
      <c r="K4">
        <f t="shared" ref="K4:K10" si="5">A4+B4</f>
        <v>32100</v>
      </c>
      <c r="N4" s="3">
        <f t="shared" si="0"/>
        <v>0.1452</v>
      </c>
      <c r="O4" s="3">
        <f t="shared" si="1"/>
        <v>0.38520000000000004</v>
      </c>
      <c r="P4" s="3">
        <f t="shared" ref="P3:P11" si="6">1/(0.8*K4*C4)</f>
        <v>2.5960539979231569</v>
      </c>
      <c r="Q4" s="2">
        <f t="shared" si="2"/>
        <v>2.4468085106382906E-2</v>
      </c>
      <c r="R4" s="2">
        <f t="shared" ref="R4:R10" si="7">B4/K4</f>
        <v>0.37694704049844235</v>
      </c>
      <c r="S4" s="2">
        <f t="shared" ref="S4:S10" si="8">(J4-R4)/R4</f>
        <v>1.8902760682258614E-3</v>
      </c>
      <c r="V4" t="s">
        <v>20</v>
      </c>
      <c r="W4" s="4" t="s">
        <v>21</v>
      </c>
    </row>
    <row r="5" spans="1:23" x14ac:dyDescent="0.45">
      <c r="A5">
        <f>32100/2</f>
        <v>16050</v>
      </c>
      <c r="B5">
        <f>32100/2</f>
        <v>16050</v>
      </c>
      <c r="C5" s="1">
        <v>1.5E-5</v>
      </c>
      <c r="D5">
        <v>3.6999999999999998E-2</v>
      </c>
      <c r="E5">
        <v>0.22800000000000001</v>
      </c>
      <c r="F5">
        <v>0.41599999999999998</v>
      </c>
      <c r="G5">
        <f t="shared" si="3"/>
        <v>0.191</v>
      </c>
      <c r="H5">
        <f>F5-D5</f>
        <v>0.379</v>
      </c>
      <c r="I5" s="3">
        <f>1/H5</f>
        <v>2.6385224274406331</v>
      </c>
      <c r="J5" s="2">
        <f t="shared" si="4"/>
        <v>0.50395778364116095</v>
      </c>
      <c r="K5">
        <f t="shared" si="5"/>
        <v>32100</v>
      </c>
      <c r="N5" s="3">
        <f t="shared" si="0"/>
        <v>0.19260000000000002</v>
      </c>
      <c r="O5" s="3">
        <f t="shared" si="1"/>
        <v>0.38520000000000004</v>
      </c>
      <c r="P5" s="3">
        <f t="shared" si="6"/>
        <v>2.5960539979231569</v>
      </c>
      <c r="Q5" s="2">
        <f t="shared" si="2"/>
        <v>1.6358839050131833E-2</v>
      </c>
      <c r="R5" s="2">
        <f t="shared" si="7"/>
        <v>0.5</v>
      </c>
      <c r="S5" s="2">
        <f t="shared" si="8"/>
        <v>7.9155672823219003E-3</v>
      </c>
      <c r="V5" t="s">
        <v>18</v>
      </c>
      <c r="W5" s="4" t="s">
        <v>22</v>
      </c>
    </row>
    <row r="6" spans="1:23" x14ac:dyDescent="0.45">
      <c r="A6">
        <v>12100</v>
      </c>
      <c r="B6">
        <v>20000</v>
      </c>
      <c r="C6" s="1">
        <v>1.5E-5</v>
      </c>
      <c r="D6">
        <v>0.34399999999999997</v>
      </c>
      <c r="E6">
        <v>0.57899999999999996</v>
      </c>
      <c r="F6">
        <v>0.72</v>
      </c>
      <c r="G6">
        <f t="shared" si="3"/>
        <v>0.23499999999999999</v>
      </c>
      <c r="H6">
        <f>F6-D6</f>
        <v>0.376</v>
      </c>
      <c r="I6" s="3">
        <f t="shared" ref="I6:I11" si="9">1/H6</f>
        <v>2.6595744680851063</v>
      </c>
      <c r="J6" s="2">
        <f t="shared" si="4"/>
        <v>0.625</v>
      </c>
      <c r="K6">
        <f t="shared" si="5"/>
        <v>32100</v>
      </c>
      <c r="N6" s="3">
        <f t="shared" si="0"/>
        <v>0.24</v>
      </c>
      <c r="O6" s="3">
        <f t="shared" si="1"/>
        <v>0.38520000000000004</v>
      </c>
      <c r="P6" s="3">
        <f t="shared" si="6"/>
        <v>2.5960539979231569</v>
      </c>
      <c r="Q6" s="2">
        <f t="shared" si="2"/>
        <v>2.4468085106382906E-2</v>
      </c>
      <c r="R6" s="2">
        <f t="shared" si="7"/>
        <v>0.62305295950155759</v>
      </c>
      <c r="S6" s="2">
        <f t="shared" si="8"/>
        <v>3.1250000000000674E-3</v>
      </c>
      <c r="V6" s="3"/>
    </row>
    <row r="7" spans="1:23" x14ac:dyDescent="0.45">
      <c r="A7">
        <v>27000</v>
      </c>
      <c r="B7">
        <v>5100</v>
      </c>
      <c r="C7" s="1">
        <v>1.0000000000000001E-5</v>
      </c>
      <c r="D7">
        <v>7.0000000000000007E-2</v>
      </c>
      <c r="E7">
        <v>0.111</v>
      </c>
      <c r="F7">
        <v>0.318</v>
      </c>
      <c r="G7">
        <f t="shared" si="3"/>
        <v>4.0999999999999995E-2</v>
      </c>
      <c r="H7">
        <f>F7-D7</f>
        <v>0.248</v>
      </c>
      <c r="I7" s="3">
        <f t="shared" si="9"/>
        <v>4.032258064516129</v>
      </c>
      <c r="J7" s="2">
        <f t="shared" si="4"/>
        <v>0.16532258064516128</v>
      </c>
      <c r="K7">
        <f t="shared" si="5"/>
        <v>32100</v>
      </c>
      <c r="N7" s="3">
        <f t="shared" si="0"/>
        <v>4.0800000000000003E-2</v>
      </c>
      <c r="O7" s="3">
        <f t="shared" si="1"/>
        <v>0.25680000000000003</v>
      </c>
      <c r="P7" s="3">
        <f t="shared" si="6"/>
        <v>3.894080996884735</v>
      </c>
      <c r="Q7" s="2">
        <f t="shared" si="2"/>
        <v>3.5483870967741991E-2</v>
      </c>
      <c r="R7" s="2">
        <f t="shared" si="7"/>
        <v>0.15887850467289719</v>
      </c>
      <c r="S7" s="2">
        <f t="shared" si="8"/>
        <v>4.0559772296015192E-2</v>
      </c>
      <c r="V7" s="3"/>
    </row>
    <row r="8" spans="1:23" x14ac:dyDescent="0.45">
      <c r="A8">
        <v>27000</v>
      </c>
      <c r="B8">
        <v>5100</v>
      </c>
      <c r="C8" s="1">
        <v>2.0000000000000002E-5</v>
      </c>
      <c r="D8">
        <v>0.13700000000000001</v>
      </c>
      <c r="E8">
        <v>0.217</v>
      </c>
      <c r="F8">
        <v>0.63700000000000001</v>
      </c>
      <c r="G8">
        <f t="shared" si="3"/>
        <v>7.9999999999999988E-2</v>
      </c>
      <c r="H8">
        <f t="shared" ref="H8:H10" si="10">F8-D8</f>
        <v>0.5</v>
      </c>
      <c r="I8" s="3">
        <f t="shared" si="9"/>
        <v>2</v>
      </c>
      <c r="J8" s="2">
        <f t="shared" si="4"/>
        <v>0.15999999999999998</v>
      </c>
      <c r="K8">
        <f t="shared" si="5"/>
        <v>32100</v>
      </c>
      <c r="N8" s="3">
        <f t="shared" si="0"/>
        <v>8.1600000000000006E-2</v>
      </c>
      <c r="O8" s="3">
        <f t="shared" si="1"/>
        <v>0.51360000000000006</v>
      </c>
      <c r="P8" s="3">
        <f t="shared" si="6"/>
        <v>1.9470404984423675</v>
      </c>
      <c r="Q8" s="2">
        <f t="shared" si="2"/>
        <v>2.7200000000000061E-2</v>
      </c>
      <c r="R8" s="2">
        <f t="shared" si="7"/>
        <v>0.15887850467289719</v>
      </c>
      <c r="S8" s="2">
        <f t="shared" si="8"/>
        <v>7.0588235294116747E-3</v>
      </c>
      <c r="V8" s="3"/>
    </row>
    <row r="9" spans="1:23" x14ac:dyDescent="0.45">
      <c r="A9">
        <v>27000</v>
      </c>
      <c r="B9">
        <v>5100</v>
      </c>
      <c r="C9" s="1">
        <v>2.5000000000000001E-5</v>
      </c>
      <c r="D9">
        <v>0.42299999999999999</v>
      </c>
      <c r="E9">
        <v>0.52200000000000002</v>
      </c>
      <c r="F9">
        <v>1.0509999999999999</v>
      </c>
      <c r="G9">
        <f t="shared" si="3"/>
        <v>9.9000000000000032E-2</v>
      </c>
      <c r="H9">
        <f t="shared" si="10"/>
        <v>0.62799999999999989</v>
      </c>
      <c r="I9" s="3">
        <f t="shared" si="9"/>
        <v>1.5923566878980895</v>
      </c>
      <c r="J9" s="2">
        <f t="shared" si="4"/>
        <v>0.1576433121019109</v>
      </c>
      <c r="K9">
        <f t="shared" si="5"/>
        <v>32100</v>
      </c>
      <c r="N9" s="3">
        <f t="shared" si="0"/>
        <v>0.10200000000000001</v>
      </c>
      <c r="O9" s="3">
        <f t="shared" si="1"/>
        <v>0.64200000000000002</v>
      </c>
      <c r="P9" s="3">
        <f t="shared" si="6"/>
        <v>1.557632398753894</v>
      </c>
      <c r="Q9" s="2">
        <f t="shared" si="2"/>
        <v>2.2292993630573483E-2</v>
      </c>
      <c r="R9" s="2">
        <f t="shared" si="7"/>
        <v>0.15887850467289719</v>
      </c>
      <c r="S9" s="2">
        <f t="shared" si="8"/>
        <v>-7.774447358560717E-3</v>
      </c>
      <c r="V9" s="3"/>
    </row>
    <row r="10" spans="1:23" x14ac:dyDescent="0.45">
      <c r="A10">
        <v>20000</v>
      </c>
      <c r="B10">
        <v>6000</v>
      </c>
      <c r="C10" s="1">
        <v>1.5E-5</v>
      </c>
      <c r="D10">
        <v>0.27100000000000002</v>
      </c>
      <c r="E10">
        <v>0.34100000000000003</v>
      </c>
      <c r="F10">
        <v>0.57399999999999995</v>
      </c>
      <c r="G10">
        <f t="shared" si="3"/>
        <v>7.0000000000000007E-2</v>
      </c>
      <c r="H10">
        <f t="shared" si="10"/>
        <v>0.30299999999999994</v>
      </c>
      <c r="I10" s="3">
        <f t="shared" si="9"/>
        <v>3.3003300330033012</v>
      </c>
      <c r="J10" s="2">
        <f t="shared" si="4"/>
        <v>0.2310231023102311</v>
      </c>
      <c r="K10">
        <f t="shared" si="5"/>
        <v>26000</v>
      </c>
      <c r="N10" s="3">
        <f t="shared" si="0"/>
        <v>7.1999999999999995E-2</v>
      </c>
      <c r="O10" s="3">
        <f t="shared" si="1"/>
        <v>0.31200000000000006</v>
      </c>
      <c r="P10" s="3">
        <f t="shared" si="6"/>
        <v>3.2051282051282053</v>
      </c>
      <c r="Q10" s="2">
        <f t="shared" si="2"/>
        <v>2.970297029702992E-2</v>
      </c>
      <c r="R10" s="2">
        <f t="shared" si="7"/>
        <v>0.23076923076923078</v>
      </c>
      <c r="S10" s="2">
        <f t="shared" si="8"/>
        <v>1.1001100110013724E-3</v>
      </c>
      <c r="V10" s="3"/>
    </row>
    <row r="11" spans="1:23" x14ac:dyDescent="0.45">
      <c r="A11">
        <v>24000</v>
      </c>
      <c r="B11">
        <v>8200</v>
      </c>
      <c r="C11" s="1">
        <v>1.5E-5</v>
      </c>
      <c r="D11">
        <v>0.18099999999999999</v>
      </c>
      <c r="E11">
        <v>0.27800000000000002</v>
      </c>
      <c r="F11">
        <v>0.55500000000000005</v>
      </c>
      <c r="G11">
        <f t="shared" ref="G11" si="11">E11-D11</f>
        <v>9.7000000000000031E-2</v>
      </c>
      <c r="H11">
        <f t="shared" ref="H11" si="12">F11-D11</f>
        <v>0.37400000000000005</v>
      </c>
      <c r="I11" s="3">
        <f t="shared" si="9"/>
        <v>2.6737967914438499</v>
      </c>
      <c r="J11" s="2">
        <f t="shared" ref="J11" si="13">G11/(F11-D11)</f>
        <v>0.25935828877005351</v>
      </c>
      <c r="K11">
        <f t="shared" ref="K11" si="14">A11+B11</f>
        <v>32200</v>
      </c>
      <c r="N11" s="3">
        <f t="shared" si="0"/>
        <v>9.8400000000000001E-2</v>
      </c>
      <c r="O11" s="3">
        <f t="shared" si="1"/>
        <v>0.38640000000000002</v>
      </c>
      <c r="P11" s="3">
        <f t="shared" si="6"/>
        <v>2.5879917184265011</v>
      </c>
      <c r="Q11" s="2">
        <f t="shared" si="2"/>
        <v>3.3155080213903551E-2</v>
      </c>
      <c r="R11" s="2">
        <f t="shared" ref="R11" si="15">B11/K11</f>
        <v>0.25465838509316768</v>
      </c>
      <c r="S11" s="2">
        <f t="shared" ref="S11" si="16">(J11-R11)/R11</f>
        <v>1.8455719316551676E-2</v>
      </c>
    </row>
    <row r="14" spans="1:23" x14ac:dyDescent="0.45">
      <c r="A14" t="s">
        <v>49</v>
      </c>
    </row>
    <row r="15" spans="1:23" x14ac:dyDescent="0.45">
      <c r="A15">
        <v>20000</v>
      </c>
      <c r="B15">
        <v>6000</v>
      </c>
      <c r="C15" s="1">
        <v>1.5E-5</v>
      </c>
      <c r="D15">
        <v>8.2000000000000003E-2</v>
      </c>
      <c r="E15">
        <v>0.14399999999999999</v>
      </c>
      <c r="F15">
        <v>0.34100000000000003</v>
      </c>
      <c r="G15">
        <f t="shared" ref="G15:G21" si="17">E15-D15</f>
        <v>6.1999999999999986E-2</v>
      </c>
      <c r="H15">
        <f t="shared" ref="H15:H21" si="18">F15-D15</f>
        <v>0.25900000000000001</v>
      </c>
      <c r="I15" s="3">
        <f t="shared" ref="I15:I21" si="19">1/H15</f>
        <v>3.8610038610038608</v>
      </c>
      <c r="J15" s="2">
        <f t="shared" ref="J15:J21" si="20">G15/(F15-D15)</f>
        <v>0.23938223938223932</v>
      </c>
      <c r="K15">
        <f t="shared" ref="K15:K22" si="21">A15+B15</f>
        <v>26000</v>
      </c>
      <c r="N15" s="3">
        <f t="shared" ref="N15:N22" si="22">C15*B15*0.8</f>
        <v>7.1999999999999995E-2</v>
      </c>
      <c r="O15" s="3">
        <f t="shared" ref="O15:O22" si="23">C15*K15*0.8</f>
        <v>0.31200000000000006</v>
      </c>
      <c r="P15" s="3">
        <f t="shared" ref="P15:P21" si="24">1/(0.65*K15*C15)</f>
        <v>3.9447731755424065</v>
      </c>
      <c r="Q15" s="2">
        <f t="shared" ref="Q15:Q21" si="25">(I15-P15)/P15</f>
        <v>-2.1235521235521318E-2</v>
      </c>
      <c r="R15" s="2">
        <f>B15/K15</f>
        <v>0.23076923076923078</v>
      </c>
      <c r="S15" s="2">
        <f t="shared" ref="S15:S21" si="26">(J15-R15)/R15</f>
        <v>3.7323037323036996E-2</v>
      </c>
    </row>
    <row r="16" spans="1:23" x14ac:dyDescent="0.45">
      <c r="A16">
        <v>27000</v>
      </c>
      <c r="B16">
        <v>5100</v>
      </c>
      <c r="C16" s="1">
        <v>1.5E-5</v>
      </c>
      <c r="D16">
        <v>0.33900000000000002</v>
      </c>
      <c r="E16">
        <v>0.39500000000000002</v>
      </c>
      <c r="F16">
        <v>0.64900000000000002</v>
      </c>
      <c r="G16">
        <f t="shared" si="17"/>
        <v>5.5999999999999994E-2</v>
      </c>
      <c r="H16">
        <f t="shared" si="18"/>
        <v>0.31</v>
      </c>
      <c r="I16" s="3">
        <f t="shared" si="19"/>
        <v>3.2258064516129035</v>
      </c>
      <c r="J16" s="2">
        <f t="shared" si="20"/>
        <v>0.18064516129032257</v>
      </c>
      <c r="K16">
        <f t="shared" si="21"/>
        <v>32100</v>
      </c>
      <c r="N16" s="3">
        <f t="shared" si="22"/>
        <v>6.1200000000000004E-2</v>
      </c>
      <c r="O16" s="3">
        <f t="shared" si="23"/>
        <v>0.38520000000000004</v>
      </c>
      <c r="P16" s="3">
        <f t="shared" si="24"/>
        <v>3.1951433820592698</v>
      </c>
      <c r="Q16" s="2">
        <f t="shared" si="25"/>
        <v>9.5967741935484852E-3</v>
      </c>
      <c r="R16" s="2">
        <f t="shared" ref="R16:R17" si="27">B16/K16</f>
        <v>0.15887850467289719</v>
      </c>
      <c r="S16" s="2">
        <f t="shared" si="26"/>
        <v>0.13700189753320682</v>
      </c>
      <c r="V16" t="s">
        <v>20</v>
      </c>
      <c r="W16" s="4" t="s">
        <v>23</v>
      </c>
    </row>
    <row r="17" spans="1:23" x14ac:dyDescent="0.45">
      <c r="A17">
        <v>25000</v>
      </c>
      <c r="B17">
        <v>7100</v>
      </c>
      <c r="C17" s="1">
        <v>1.5E-5</v>
      </c>
      <c r="D17">
        <v>0.32300000000000001</v>
      </c>
      <c r="E17">
        <v>0.39300000000000002</v>
      </c>
      <c r="F17">
        <v>0.62</v>
      </c>
      <c r="G17">
        <f t="shared" si="17"/>
        <v>7.0000000000000007E-2</v>
      </c>
      <c r="H17">
        <f t="shared" si="18"/>
        <v>0.29699999999999999</v>
      </c>
      <c r="I17" s="3">
        <f t="shared" si="19"/>
        <v>3.3670033670033672</v>
      </c>
      <c r="J17" s="2">
        <f t="shared" si="20"/>
        <v>0.23569023569023573</v>
      </c>
      <c r="K17">
        <f t="shared" si="21"/>
        <v>32100</v>
      </c>
      <c r="N17" s="3">
        <f t="shared" si="22"/>
        <v>8.5199999999999998E-2</v>
      </c>
      <c r="O17" s="3">
        <f t="shared" si="23"/>
        <v>0.38520000000000004</v>
      </c>
      <c r="P17" s="3">
        <f t="shared" si="24"/>
        <v>3.1951433820592698</v>
      </c>
      <c r="Q17" s="2">
        <f t="shared" si="25"/>
        <v>5.3787878787878877E-2</v>
      </c>
      <c r="R17" s="2">
        <f t="shared" si="27"/>
        <v>0.22118380062305296</v>
      </c>
      <c r="S17" s="2">
        <f t="shared" si="26"/>
        <v>6.558543178261507E-2</v>
      </c>
      <c r="V17" t="s">
        <v>18</v>
      </c>
      <c r="W17" s="4" t="s">
        <v>22</v>
      </c>
    </row>
    <row r="18" spans="1:23" x14ac:dyDescent="0.45">
      <c r="A18">
        <v>25000</v>
      </c>
      <c r="B18">
        <v>7100</v>
      </c>
      <c r="C18" s="1">
        <v>2.0000000000000002E-5</v>
      </c>
      <c r="D18">
        <v>0.34200000000000003</v>
      </c>
      <c r="E18">
        <v>0.443</v>
      </c>
      <c r="F18">
        <v>0.76</v>
      </c>
      <c r="G18">
        <f t="shared" si="17"/>
        <v>0.10099999999999998</v>
      </c>
      <c r="H18">
        <f t="shared" si="18"/>
        <v>0.41799999999999998</v>
      </c>
      <c r="I18" s="3">
        <f t="shared" si="19"/>
        <v>2.3923444976076556</v>
      </c>
      <c r="J18" s="2">
        <f t="shared" si="20"/>
        <v>0.24162679425837316</v>
      </c>
      <c r="K18">
        <f t="shared" si="21"/>
        <v>32100</v>
      </c>
      <c r="N18" s="3">
        <f t="shared" si="22"/>
        <v>0.11360000000000002</v>
      </c>
      <c r="O18" s="3">
        <f t="shared" si="23"/>
        <v>0.51360000000000006</v>
      </c>
      <c r="P18" s="3">
        <f t="shared" si="24"/>
        <v>2.396357536544452</v>
      </c>
      <c r="Q18" s="2">
        <f t="shared" si="25"/>
        <v>-1.6746411483251789E-3</v>
      </c>
      <c r="R18" s="2">
        <f>B18/K18</f>
        <v>0.22118380062305296</v>
      </c>
      <c r="S18" s="2">
        <f t="shared" si="26"/>
        <v>9.2425365590673048E-2</v>
      </c>
    </row>
    <row r="19" spans="1:23" x14ac:dyDescent="0.45">
      <c r="A19">
        <v>25000</v>
      </c>
      <c r="B19">
        <v>7100</v>
      </c>
      <c r="C19" s="1">
        <v>2.5000000000000001E-5</v>
      </c>
      <c r="D19">
        <v>0.68</v>
      </c>
      <c r="E19">
        <v>0.80300000000000005</v>
      </c>
      <c r="F19">
        <v>1.196</v>
      </c>
      <c r="G19">
        <f t="shared" si="17"/>
        <v>0.123</v>
      </c>
      <c r="H19">
        <f t="shared" si="18"/>
        <v>0.5159999999999999</v>
      </c>
      <c r="I19" s="3">
        <f t="shared" si="19"/>
        <v>1.9379844961240313</v>
      </c>
      <c r="J19" s="2">
        <f t="shared" si="20"/>
        <v>0.23837209302325585</v>
      </c>
      <c r="K19">
        <f t="shared" si="21"/>
        <v>32100</v>
      </c>
      <c r="N19" s="3">
        <f t="shared" si="22"/>
        <v>0.14200000000000002</v>
      </c>
      <c r="O19" s="3">
        <f t="shared" si="23"/>
        <v>0.64200000000000002</v>
      </c>
      <c r="P19" s="3">
        <f t="shared" si="24"/>
        <v>1.9170860292355618</v>
      </c>
      <c r="Q19" s="2">
        <f t="shared" si="25"/>
        <v>1.0901162790697916E-2</v>
      </c>
      <c r="R19" s="2">
        <f>B19/K19</f>
        <v>0.22118380062305296</v>
      </c>
      <c r="S19" s="2">
        <f t="shared" si="26"/>
        <v>7.7710448738945476E-2</v>
      </c>
    </row>
    <row r="20" spans="1:23" x14ac:dyDescent="0.45">
      <c r="A20">
        <v>25000</v>
      </c>
      <c r="B20">
        <v>7100</v>
      </c>
      <c r="C20" s="1">
        <v>1.0000000000000001E-5</v>
      </c>
      <c r="D20">
        <v>0.29599999999999999</v>
      </c>
      <c r="E20">
        <v>0.34100000000000003</v>
      </c>
      <c r="F20">
        <v>0.502</v>
      </c>
      <c r="G20">
        <f t="shared" si="17"/>
        <v>4.500000000000004E-2</v>
      </c>
      <c r="H20">
        <f t="shared" si="18"/>
        <v>0.20600000000000002</v>
      </c>
      <c r="I20" s="3">
        <f t="shared" si="19"/>
        <v>4.8543689320388346</v>
      </c>
      <c r="J20" s="2">
        <f t="shared" si="20"/>
        <v>0.21844660194174775</v>
      </c>
      <c r="K20">
        <f t="shared" si="21"/>
        <v>32100</v>
      </c>
      <c r="N20" s="3">
        <f t="shared" si="22"/>
        <v>5.680000000000001E-2</v>
      </c>
      <c r="O20" s="3">
        <f t="shared" si="23"/>
        <v>0.25680000000000003</v>
      </c>
      <c r="P20" s="3">
        <f t="shared" si="24"/>
        <v>4.7927150730889041</v>
      </c>
      <c r="Q20" s="2">
        <f t="shared" si="25"/>
        <v>1.2864077669902996E-2</v>
      </c>
      <c r="R20" s="2">
        <f>B20/K20</f>
        <v>0.22118380062305296</v>
      </c>
      <c r="S20" s="2">
        <f t="shared" si="26"/>
        <v>-1.2375222207027749E-2</v>
      </c>
    </row>
    <row r="21" spans="1:23" x14ac:dyDescent="0.45">
      <c r="A21">
        <v>24000</v>
      </c>
      <c r="B21">
        <v>8200</v>
      </c>
      <c r="C21" s="1">
        <v>1.5E-5</v>
      </c>
      <c r="D21">
        <v>0.31</v>
      </c>
      <c r="E21">
        <v>0.39400000000000002</v>
      </c>
      <c r="F21">
        <v>0.624</v>
      </c>
      <c r="G21">
        <f t="shared" si="17"/>
        <v>8.4000000000000019E-2</v>
      </c>
      <c r="H21">
        <f t="shared" si="18"/>
        <v>0.314</v>
      </c>
      <c r="I21" s="3">
        <f t="shared" si="19"/>
        <v>3.1847133757961785</v>
      </c>
      <c r="J21" s="2">
        <f t="shared" si="20"/>
        <v>0.26751592356687903</v>
      </c>
      <c r="K21">
        <f t="shared" si="21"/>
        <v>32200</v>
      </c>
      <c r="N21" s="3">
        <f t="shared" si="22"/>
        <v>9.8400000000000001E-2</v>
      </c>
      <c r="O21" s="3">
        <f t="shared" si="23"/>
        <v>0.38640000000000002</v>
      </c>
      <c r="P21" s="3">
        <f t="shared" si="24"/>
        <v>3.1852205765249244</v>
      </c>
      <c r="Q21" s="2">
        <f t="shared" si="25"/>
        <v>-1.5923566878976977E-4</v>
      </c>
      <c r="R21" s="2">
        <f>B21/K21</f>
        <v>0.25465838509316768</v>
      </c>
      <c r="S21" s="2">
        <f t="shared" si="26"/>
        <v>5.0489358396768963E-2</v>
      </c>
    </row>
    <row r="22" spans="1:23" x14ac:dyDescent="0.45">
      <c r="A22">
        <v>27000</v>
      </c>
      <c r="B22">
        <v>5100</v>
      </c>
      <c r="C22" s="1">
        <v>1.0000000000000001E-5</v>
      </c>
      <c r="I22" s="3"/>
      <c r="J22" s="2"/>
      <c r="K22">
        <f t="shared" si="21"/>
        <v>32100</v>
      </c>
      <c r="N22" s="3">
        <f t="shared" si="22"/>
        <v>4.0800000000000003E-2</v>
      </c>
      <c r="O22" s="3">
        <f t="shared" si="23"/>
        <v>0.25680000000000003</v>
      </c>
      <c r="P22" s="3">
        <f>1/(K22*C22)</f>
        <v>3.1152647975077881</v>
      </c>
      <c r="R22" s="2">
        <f>B22/K22</f>
        <v>0.15887850467289719</v>
      </c>
    </row>
    <row r="23" spans="1:23" x14ac:dyDescent="0.45">
      <c r="B23" t="s">
        <v>51</v>
      </c>
      <c r="I23" s="3"/>
      <c r="J23" s="2"/>
      <c r="N23" t="s">
        <v>52</v>
      </c>
    </row>
    <row r="26" spans="1:23" x14ac:dyDescent="0.45">
      <c r="B26" s="1"/>
    </row>
  </sheetData>
  <mergeCells count="4">
    <mergeCell ref="A1:C1"/>
    <mergeCell ref="D1:F1"/>
    <mergeCell ref="G1:K1"/>
    <mergeCell ref="N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BA14-6868-4F95-9AD1-ECEFF7274AA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 Great Scott</vt:lpstr>
      <vt:lpstr>LT Spice Great Scott</vt:lpstr>
      <vt:lpstr>LT Spice Skinny R&amp;D</vt:lpstr>
    </vt:vector>
  </TitlesOfParts>
  <Company>UofM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Girouard</dc:creator>
  <cp:lastModifiedBy>Serge Girouard</cp:lastModifiedBy>
  <dcterms:created xsi:type="dcterms:W3CDTF">2019-07-05T16:37:37Z</dcterms:created>
  <dcterms:modified xsi:type="dcterms:W3CDTF">2019-09-21T23:51:56Z</dcterms:modified>
</cp:coreProperties>
</file>