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Descargas\"/>
    </mc:Choice>
  </mc:AlternateContent>
  <xr:revisionPtr revIDLastSave="0" documentId="13_ncr:1_{39CFE777-73EB-4940-812B-76BF45063BDA}" xr6:coauthVersionLast="47" xr6:coauthVersionMax="47" xr10:uidLastSave="{00000000-0000-0000-0000-000000000000}"/>
  <bookViews>
    <workbookView xWindow="-120" yWindow="-120" windowWidth="20730" windowHeight="11160" activeTab="3" xr2:uid="{00000000-000D-0000-FFFF-FFFF00000000}"/>
  </bookViews>
  <sheets>
    <sheet name="Datos" sheetId="1" r:id="rId1"/>
    <sheet name="Amortización" sheetId="2" r:id="rId2"/>
    <sheet name="Costos" sheetId="3" r:id="rId3"/>
    <sheet name="VPN y TIR" sheetId="4" r:id="rId4"/>
    <sheet name="Estado de resultado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9" i="3"/>
  <c r="C7" i="3"/>
  <c r="C6" i="3"/>
  <c r="C3" i="2"/>
  <c r="F132" i="1"/>
  <c r="G132" i="1" s="1"/>
  <c r="G131" i="1"/>
  <c r="F131" i="1"/>
  <c r="D129" i="1"/>
  <c r="F129" i="1" s="1"/>
  <c r="F128" i="1"/>
  <c r="G128" i="1" s="1"/>
  <c r="F127" i="1"/>
  <c r="G127" i="1" s="1"/>
  <c r="F122" i="1"/>
  <c r="G122" i="1" s="1"/>
  <c r="D122" i="1"/>
  <c r="F121" i="1"/>
  <c r="G121" i="1" s="1"/>
  <c r="D121" i="1"/>
  <c r="D120" i="1"/>
  <c r="F120" i="1" s="1"/>
  <c r="G120" i="1" s="1"/>
  <c r="G123" i="1" s="1"/>
  <c r="C12" i="3" s="1"/>
  <c r="F115" i="1"/>
  <c r="F114" i="1"/>
  <c r="F113" i="1"/>
  <c r="F112" i="1"/>
  <c r="F111" i="1"/>
  <c r="F110" i="1"/>
  <c r="F109" i="1"/>
  <c r="F108" i="1"/>
  <c r="F107" i="1"/>
  <c r="F106" i="1"/>
  <c r="F105" i="1"/>
  <c r="F104" i="1"/>
  <c r="F103" i="1"/>
  <c r="F102" i="1"/>
  <c r="F101" i="1"/>
  <c r="F100" i="1"/>
  <c r="F99" i="1"/>
  <c r="F98" i="1"/>
  <c r="F97" i="1"/>
  <c r="F96" i="1"/>
  <c r="F95" i="1"/>
  <c r="F94" i="1"/>
  <c r="F89" i="1"/>
  <c r="G89" i="1" s="1"/>
  <c r="G90" i="1" s="1"/>
  <c r="C11" i="3" s="1"/>
  <c r="G84" i="1"/>
  <c r="G85" i="1" s="1"/>
  <c r="F84" i="1"/>
  <c r="F79" i="1"/>
  <c r="G79" i="1" s="1"/>
  <c r="F78" i="1"/>
  <c r="G78" i="1" s="1"/>
  <c r="D73" i="1"/>
  <c r="F73" i="1" s="1"/>
  <c r="G73" i="1" s="1"/>
  <c r="F72" i="1"/>
  <c r="G72" i="1" s="1"/>
  <c r="D72" i="1"/>
  <c r="D71" i="1"/>
  <c r="F71" i="1" s="1"/>
  <c r="G71" i="1" s="1"/>
  <c r="F70" i="1"/>
  <c r="G70" i="1" s="1"/>
  <c r="D70" i="1"/>
  <c r="D69" i="1"/>
  <c r="F69" i="1" s="1"/>
  <c r="G69" i="1" s="1"/>
  <c r="D64" i="1"/>
  <c r="F64" i="1" s="1"/>
  <c r="G64" i="1" s="1"/>
  <c r="G65" i="1" s="1"/>
  <c r="F63" i="1"/>
  <c r="G63" i="1" s="1"/>
  <c r="F58" i="1"/>
  <c r="G58" i="1" s="1"/>
  <c r="F57" i="1"/>
  <c r="G57" i="1" s="1"/>
  <c r="G56" i="1"/>
  <c r="F56" i="1"/>
  <c r="F55" i="1"/>
  <c r="G55" i="1" s="1"/>
  <c r="D54" i="1"/>
  <c r="F54" i="1" s="1"/>
  <c r="G54" i="1" s="1"/>
  <c r="G53" i="1"/>
  <c r="F53" i="1"/>
  <c r="D48" i="1"/>
  <c r="F48" i="1" s="1"/>
  <c r="G48" i="1" s="1"/>
  <c r="G49" i="1" s="1"/>
  <c r="F41" i="1"/>
  <c r="G41" i="1" s="1"/>
  <c r="G40" i="1"/>
  <c r="D39" i="1"/>
  <c r="F39" i="1" s="1"/>
  <c r="G39" i="1" s="1"/>
  <c r="D38" i="1"/>
  <c r="F38" i="1" s="1"/>
  <c r="G38" i="1" s="1"/>
  <c r="F33" i="1"/>
  <c r="G33" i="1" s="1"/>
  <c r="F32" i="1"/>
  <c r="G32" i="1" s="1"/>
  <c r="F31" i="1"/>
  <c r="G31" i="1" s="1"/>
  <c r="G25" i="1"/>
  <c r="F25" i="1"/>
  <c r="F24" i="1"/>
  <c r="G24" i="1" s="1"/>
  <c r="F23" i="1"/>
  <c r="G23" i="1" s="1"/>
  <c r="F22" i="1"/>
  <c r="G22" i="1" s="1"/>
  <c r="F21" i="1"/>
  <c r="G21" i="1" s="1"/>
  <c r="F20" i="1"/>
  <c r="G20" i="1" s="1"/>
  <c r="F19" i="1"/>
  <c r="G19" i="1" s="1"/>
  <c r="G18" i="1"/>
  <c r="F18" i="1"/>
  <c r="F17" i="1"/>
  <c r="G17" i="1" s="1"/>
  <c r="F16" i="1"/>
  <c r="G16" i="1" s="1"/>
  <c r="F15" i="1"/>
  <c r="G15" i="1" s="1"/>
  <c r="F14" i="1"/>
  <c r="G14" i="1" s="1"/>
  <c r="G133" i="1" l="1"/>
  <c r="G34" i="1"/>
  <c r="G27" i="1"/>
  <c r="C8" i="3"/>
  <c r="G80" i="1"/>
  <c r="C4" i="3"/>
  <c r="G74" i="1"/>
  <c r="G26" i="1"/>
  <c r="G44" i="1"/>
  <c r="G59" i="1"/>
  <c r="F116" i="1"/>
  <c r="D2" i="1" l="1"/>
  <c r="D4" i="4" s="1"/>
  <c r="E4" i="4" s="1"/>
  <c r="C5" i="3"/>
  <c r="C2" i="2" l="1"/>
  <c r="I8" i="2"/>
  <c r="C5" i="2"/>
  <c r="C6" i="5" l="1"/>
  <c r="D5" i="4"/>
  <c r="F79" i="2"/>
  <c r="F77" i="2"/>
  <c r="F75" i="2"/>
  <c r="F73" i="2"/>
  <c r="F71" i="2"/>
  <c r="C10" i="3"/>
  <c r="C13" i="3" s="1"/>
  <c r="F74" i="2"/>
  <c r="F68" i="2"/>
  <c r="F63" i="2"/>
  <c r="F60" i="2"/>
  <c r="F55" i="2"/>
  <c r="F52" i="2"/>
  <c r="F47" i="2"/>
  <c r="F44" i="2"/>
  <c r="F39" i="2"/>
  <c r="F36" i="2"/>
  <c r="F31" i="2"/>
  <c r="F28" i="2"/>
  <c r="F23" i="2"/>
  <c r="F20" i="2"/>
  <c r="F15" i="2"/>
  <c r="F12" i="2"/>
  <c r="F80" i="2"/>
  <c r="F70" i="2"/>
  <c r="F65" i="2"/>
  <c r="F62" i="2"/>
  <c r="F57" i="2"/>
  <c r="F54" i="2"/>
  <c r="F49" i="2"/>
  <c r="F46" i="2"/>
  <c r="F41" i="2"/>
  <c r="F38" i="2"/>
  <c r="F33" i="2"/>
  <c r="F30" i="2"/>
  <c r="F25" i="2"/>
  <c r="F22" i="2"/>
  <c r="F17" i="2"/>
  <c r="F14" i="2"/>
  <c r="F9" i="2"/>
  <c r="F76" i="2"/>
  <c r="F67" i="2"/>
  <c r="F64" i="2"/>
  <c r="F59" i="2"/>
  <c r="F56" i="2"/>
  <c r="F51" i="2"/>
  <c r="F48" i="2"/>
  <c r="F43" i="2"/>
  <c r="F40" i="2"/>
  <c r="F35" i="2"/>
  <c r="F32" i="2"/>
  <c r="F27" i="2"/>
  <c r="F24" i="2"/>
  <c r="F19" i="2"/>
  <c r="F16" i="2"/>
  <c r="F11" i="2"/>
  <c r="F72" i="2"/>
  <c r="F78" i="2"/>
  <c r="F69" i="2"/>
  <c r="F66" i="2"/>
  <c r="F61" i="2"/>
  <c r="F58" i="2"/>
  <c r="F53" i="2"/>
  <c r="F50" i="2"/>
  <c r="F45" i="2"/>
  <c r="F42" i="2"/>
  <c r="F37" i="2"/>
  <c r="F34" i="2"/>
  <c r="F29" i="2"/>
  <c r="F26" i="2"/>
  <c r="F21" i="2"/>
  <c r="F18" i="2"/>
  <c r="F13" i="2"/>
  <c r="F10" i="2"/>
  <c r="G9" i="2"/>
  <c r="D8" i="4" l="1"/>
  <c r="C4" i="5"/>
  <c r="C16" i="3"/>
  <c r="E5" i="4"/>
  <c r="D7" i="4"/>
  <c r="E7" i="4" s="1"/>
  <c r="D6" i="4"/>
  <c r="E6" i="4" s="1"/>
  <c r="H9" i="2"/>
  <c r="I9" i="2" s="1"/>
  <c r="D9" i="4" l="1"/>
  <c r="E8" i="4"/>
  <c r="D10" i="4"/>
  <c r="G10" i="2"/>
  <c r="H10" i="2" s="1"/>
  <c r="I10" i="2" s="1"/>
  <c r="C17" i="3"/>
  <c r="C9" i="4" s="1"/>
  <c r="E9" i="4" s="1"/>
  <c r="C10" i="4"/>
  <c r="C18" i="3"/>
  <c r="G11" i="2" l="1"/>
  <c r="H11" i="2" s="1"/>
  <c r="I11" i="2" s="1"/>
  <c r="C12" i="4"/>
  <c r="C11" i="4"/>
  <c r="E10" i="4"/>
  <c r="D11" i="4"/>
  <c r="D12" i="4"/>
  <c r="C3" i="5"/>
  <c r="C5" i="5" s="1"/>
  <c r="C7" i="5" s="1"/>
  <c r="E11" i="4" l="1"/>
  <c r="C8" i="5"/>
  <c r="C9" i="5" s="1"/>
  <c r="C14" i="4"/>
  <c r="C13" i="4"/>
  <c r="E12" i="4"/>
  <c r="G12" i="2"/>
  <c r="H12" i="2" s="1"/>
  <c r="I12" i="2" s="1"/>
  <c r="D14" i="4"/>
  <c r="D13" i="4"/>
  <c r="E13" i="4" l="1"/>
  <c r="E14" i="4"/>
  <c r="C16" i="4"/>
  <c r="C15" i="4"/>
  <c r="G13" i="2"/>
  <c r="H13" i="2" s="1"/>
  <c r="I13" i="2" s="1"/>
  <c r="D16" i="4"/>
  <c r="D15" i="4"/>
  <c r="E15" i="4" l="1"/>
  <c r="G14" i="2"/>
  <c r="H14" i="2" s="1"/>
  <c r="I14" i="2" s="1"/>
  <c r="D17" i="4"/>
  <c r="D18" i="4"/>
  <c r="C17" i="4"/>
  <c r="E17" i="4" s="1"/>
  <c r="E16" i="4"/>
  <c r="C18" i="4"/>
  <c r="G15" i="2" l="1"/>
  <c r="H15" i="2" s="1"/>
  <c r="I15" i="2"/>
  <c r="C20" i="4"/>
  <c r="C19" i="4"/>
  <c r="E18" i="4"/>
  <c r="D19" i="4"/>
  <c r="D20" i="4"/>
  <c r="D22" i="4" l="1"/>
  <c r="D21" i="4"/>
  <c r="E19" i="4"/>
  <c r="G16" i="2"/>
  <c r="H16" i="2" s="1"/>
  <c r="I16" i="2" s="1"/>
  <c r="C22" i="4"/>
  <c r="C21" i="4"/>
  <c r="E21" i="4" s="1"/>
  <c r="E20" i="4"/>
  <c r="G17" i="2" l="1"/>
  <c r="H17" i="2" s="1"/>
  <c r="I17" i="2" s="1"/>
  <c r="E22" i="4"/>
  <c r="C24" i="4"/>
  <c r="C23" i="4"/>
  <c r="D24" i="4"/>
  <c r="D23" i="4"/>
  <c r="E23" i="4" l="1"/>
  <c r="D25" i="4"/>
  <c r="D26" i="4"/>
  <c r="G18" i="2"/>
  <c r="H18" i="2" s="1"/>
  <c r="I18" i="2" s="1"/>
  <c r="C25" i="4"/>
  <c r="E24" i="4"/>
  <c r="C26" i="4"/>
  <c r="E25" i="4" l="1"/>
  <c r="G19" i="2"/>
  <c r="H19" i="2" s="1"/>
  <c r="I19" i="2" s="1"/>
  <c r="C28" i="4"/>
  <c r="C27" i="4"/>
  <c r="E26" i="4"/>
  <c r="D27" i="4"/>
  <c r="D28" i="4"/>
  <c r="G20" i="2" l="1"/>
  <c r="H20" i="2" s="1"/>
  <c r="I20" i="2" s="1"/>
  <c r="D30" i="4"/>
  <c r="D29" i="4"/>
  <c r="E27" i="4"/>
  <c r="C30" i="4"/>
  <c r="C29" i="4"/>
  <c r="E29" i="4" s="1"/>
  <c r="E28" i="4"/>
  <c r="G21" i="2" l="1"/>
  <c r="H21" i="2" s="1"/>
  <c r="I21" i="2" s="1"/>
  <c r="E30" i="4"/>
  <c r="C32" i="4"/>
  <c r="C31" i="4"/>
  <c r="D32" i="4"/>
  <c r="D31" i="4"/>
  <c r="G22" i="2" l="1"/>
  <c r="H22" i="2" s="1"/>
  <c r="I22" i="2" s="1"/>
  <c r="C33" i="4"/>
  <c r="E32" i="4"/>
  <c r="C34" i="4"/>
  <c r="D33" i="4"/>
  <c r="D34" i="4"/>
  <c r="E31" i="4"/>
  <c r="G23" i="2" l="1"/>
  <c r="H23" i="2" s="1"/>
  <c r="I23" i="2" s="1"/>
  <c r="D35" i="4"/>
  <c r="D36" i="4"/>
  <c r="C36" i="4"/>
  <c r="C35" i="4"/>
  <c r="E35" i="4" s="1"/>
  <c r="E34" i="4"/>
  <c r="E33" i="4"/>
  <c r="G24" i="2" l="1"/>
  <c r="H24" i="2" s="1"/>
  <c r="I24" i="2" s="1"/>
  <c r="C38" i="4"/>
  <c r="C37" i="4"/>
  <c r="E36" i="4"/>
  <c r="D38" i="4"/>
  <c r="D37" i="4"/>
  <c r="G25" i="2" l="1"/>
  <c r="H25" i="2" s="1"/>
  <c r="I25" i="2"/>
  <c r="E37" i="4"/>
  <c r="D40" i="4"/>
  <c r="D39" i="4"/>
  <c r="E38" i="4"/>
  <c r="C40" i="4"/>
  <c r="C39" i="4"/>
  <c r="E39" i="4" s="1"/>
  <c r="D41" i="4" l="1"/>
  <c r="D42" i="4"/>
  <c r="C41" i="4"/>
  <c r="E41" i="4" s="1"/>
  <c r="E40" i="4"/>
  <c r="C42" i="4"/>
  <c r="G26" i="2"/>
  <c r="H26" i="2" s="1"/>
  <c r="I26" i="2" s="1"/>
  <c r="G27" i="2" l="1"/>
  <c r="H27" i="2" s="1"/>
  <c r="I27" i="2" s="1"/>
  <c r="C44" i="4"/>
  <c r="C43" i="4"/>
  <c r="E42" i="4"/>
  <c r="D43" i="4"/>
  <c r="D44" i="4"/>
  <c r="G28" i="2" l="1"/>
  <c r="H28" i="2" s="1"/>
  <c r="I28" i="2" s="1"/>
  <c r="E43" i="4"/>
  <c r="D46" i="4"/>
  <c r="D45" i="4"/>
  <c r="C46" i="4"/>
  <c r="C45" i="4"/>
  <c r="E45" i="4" s="1"/>
  <c r="E44" i="4"/>
  <c r="G29" i="2" l="1"/>
  <c r="H29" i="2" s="1"/>
  <c r="I29" i="2" s="1"/>
  <c r="E46" i="4"/>
  <c r="C48" i="4"/>
  <c r="C47" i="4"/>
  <c r="D48" i="4"/>
  <c r="D47" i="4"/>
  <c r="E47" i="4" l="1"/>
  <c r="G30" i="2"/>
  <c r="H30" i="2" s="1"/>
  <c r="I30" i="2" s="1"/>
  <c r="D49" i="4"/>
  <c r="D50" i="4"/>
  <c r="C49" i="4"/>
  <c r="E49" i="4" s="1"/>
  <c r="E48" i="4"/>
  <c r="C50" i="4"/>
  <c r="G31" i="2" l="1"/>
  <c r="H31" i="2" s="1"/>
  <c r="I31" i="2" s="1"/>
  <c r="D51" i="4"/>
  <c r="D52" i="4"/>
  <c r="C52" i="4"/>
  <c r="C51" i="4"/>
  <c r="E51" i="4" s="1"/>
  <c r="E50" i="4"/>
  <c r="G32" i="2" l="1"/>
  <c r="H32" i="2" s="1"/>
  <c r="I32" i="2" s="1"/>
  <c r="C54" i="4"/>
  <c r="C53" i="4"/>
  <c r="E52" i="4"/>
  <c r="D54" i="4"/>
  <c r="D53" i="4"/>
  <c r="G33" i="2" l="1"/>
  <c r="H33" i="2" s="1"/>
  <c r="I33" i="2"/>
  <c r="D56" i="4"/>
  <c r="D55" i="4"/>
  <c r="E53" i="4"/>
  <c r="E54" i="4"/>
  <c r="C56" i="4"/>
  <c r="C55" i="4"/>
  <c r="E55" i="4" s="1"/>
  <c r="C57" i="4" l="1"/>
  <c r="E56" i="4"/>
  <c r="C58" i="4"/>
  <c r="G34" i="2"/>
  <c r="H34" i="2" s="1"/>
  <c r="I34" i="2" s="1"/>
  <c r="D57" i="4"/>
  <c r="D58" i="4"/>
  <c r="D59" i="4" l="1"/>
  <c r="D60" i="4"/>
  <c r="G35" i="2"/>
  <c r="H35" i="2" s="1"/>
  <c r="I35" i="2" s="1"/>
  <c r="C60" i="4"/>
  <c r="C59" i="4"/>
  <c r="E59" i="4" s="1"/>
  <c r="E58" i="4"/>
  <c r="E57" i="4"/>
  <c r="G36" i="2" l="1"/>
  <c r="H36" i="2" s="1"/>
  <c r="I36" i="2" s="1"/>
  <c r="C62" i="4"/>
  <c r="C61" i="4"/>
  <c r="E60" i="4"/>
  <c r="D62" i="4"/>
  <c r="D61" i="4"/>
  <c r="E61" i="4" l="1"/>
  <c r="G37" i="2"/>
  <c r="H37" i="2" s="1"/>
  <c r="I37" i="2" s="1"/>
  <c r="D64" i="4"/>
  <c r="D63" i="4"/>
  <c r="E62" i="4"/>
  <c r="C64" i="4"/>
  <c r="C63" i="4"/>
  <c r="E63" i="4" s="1"/>
  <c r="G38" i="2" l="1"/>
  <c r="H38" i="2" s="1"/>
  <c r="I38" i="2" s="1"/>
  <c r="C65" i="4"/>
  <c r="E64" i="4"/>
  <c r="C66" i="4"/>
  <c r="D65" i="4"/>
  <c r="D66" i="4"/>
  <c r="G39" i="2" l="1"/>
  <c r="H39" i="2" s="1"/>
  <c r="I39" i="2" s="1"/>
  <c r="C68" i="4"/>
  <c r="C67" i="4"/>
  <c r="E66" i="4"/>
  <c r="D67" i="4"/>
  <c r="D68" i="4"/>
  <c r="E65" i="4"/>
  <c r="G40" i="2" l="1"/>
  <c r="H40" i="2" s="1"/>
  <c r="I40" i="2" s="1"/>
  <c r="D70" i="4"/>
  <c r="D69" i="4"/>
  <c r="C70" i="4"/>
  <c r="C69" i="4"/>
  <c r="E69" i="4" s="1"/>
  <c r="E68" i="4"/>
  <c r="E67" i="4"/>
  <c r="G41" i="2" l="1"/>
  <c r="H41" i="2" s="1"/>
  <c r="I41" i="2"/>
  <c r="E70" i="4"/>
  <c r="C72" i="4"/>
  <c r="C71" i="4"/>
  <c r="D72" i="4"/>
  <c r="D71" i="4"/>
  <c r="C73" i="4" l="1"/>
  <c r="E72" i="4"/>
  <c r="C74" i="4"/>
  <c r="D73" i="4"/>
  <c r="D74" i="4"/>
  <c r="D75" i="4" s="1"/>
  <c r="E71" i="4"/>
  <c r="G42" i="2"/>
  <c r="H42" i="2" s="1"/>
  <c r="I42" i="2" s="1"/>
  <c r="G43" i="2" l="1"/>
  <c r="H43" i="2" s="1"/>
  <c r="I43" i="2" s="1"/>
  <c r="C75" i="4"/>
  <c r="E75" i="4" s="1"/>
  <c r="E74" i="4"/>
  <c r="E73" i="4"/>
  <c r="G44" i="2" l="1"/>
  <c r="H44" i="2" s="1"/>
  <c r="I44" i="2" s="1"/>
  <c r="E76" i="4" a="1"/>
  <c r="E76" i="4" s="1"/>
  <c r="E78" i="4" s="1"/>
  <c r="E77" i="4"/>
  <c r="G45" i="2" l="1"/>
  <c r="H45" i="2" s="1"/>
  <c r="I45" i="2" s="1"/>
  <c r="G46" i="2" l="1"/>
  <c r="H46" i="2" s="1"/>
  <c r="I46" i="2" s="1"/>
  <c r="G47" i="2" l="1"/>
  <c r="H47" i="2" s="1"/>
  <c r="I47" i="2" s="1"/>
  <c r="G48" i="2" l="1"/>
  <c r="H48" i="2" s="1"/>
  <c r="I48" i="2" s="1"/>
  <c r="G49" i="2" l="1"/>
  <c r="H49" i="2" s="1"/>
  <c r="I49" i="2"/>
  <c r="G50" i="2" l="1"/>
  <c r="H50" i="2" s="1"/>
  <c r="I50" i="2" s="1"/>
  <c r="G51" i="2" l="1"/>
  <c r="H51" i="2" s="1"/>
  <c r="I51" i="2" s="1"/>
  <c r="G52" i="2" l="1"/>
  <c r="H52" i="2" s="1"/>
  <c r="I52" i="2" s="1"/>
  <c r="G53" i="2" l="1"/>
  <c r="H53" i="2" s="1"/>
  <c r="I53" i="2" s="1"/>
  <c r="G54" i="2" l="1"/>
  <c r="H54" i="2" s="1"/>
  <c r="I54" i="2" s="1"/>
  <c r="G55" i="2" l="1"/>
  <c r="H55" i="2" s="1"/>
  <c r="I55" i="2" s="1"/>
  <c r="G56" i="2" l="1"/>
  <c r="H56" i="2" s="1"/>
  <c r="I56" i="2" s="1"/>
  <c r="G57" i="2" l="1"/>
  <c r="H57" i="2" s="1"/>
  <c r="I57" i="2" s="1"/>
  <c r="G58" i="2" l="1"/>
  <c r="H58" i="2" s="1"/>
  <c r="I58" i="2" s="1"/>
  <c r="G59" i="2" l="1"/>
  <c r="H59" i="2" s="1"/>
  <c r="I59" i="2" s="1"/>
  <c r="G60" i="2" l="1"/>
  <c r="H60" i="2" s="1"/>
  <c r="I60" i="2" s="1"/>
  <c r="G61" i="2" l="1"/>
  <c r="H61" i="2" s="1"/>
  <c r="I61" i="2"/>
  <c r="G62" i="2" l="1"/>
  <c r="H62" i="2" s="1"/>
  <c r="I62" i="2" s="1"/>
  <c r="G63" i="2" l="1"/>
  <c r="H63" i="2" s="1"/>
  <c r="I63" i="2" s="1"/>
  <c r="G64" i="2" l="1"/>
  <c r="H64" i="2" s="1"/>
  <c r="I64" i="2" s="1"/>
  <c r="G65" i="2" l="1"/>
  <c r="H65" i="2" s="1"/>
  <c r="I65" i="2" s="1"/>
  <c r="G66" i="2" l="1"/>
  <c r="H66" i="2" s="1"/>
  <c r="I66" i="2" s="1"/>
  <c r="G67" i="2" l="1"/>
  <c r="H67" i="2" s="1"/>
  <c r="I67" i="2" s="1"/>
  <c r="G68" i="2" l="1"/>
  <c r="H68" i="2" s="1"/>
  <c r="I68" i="2" s="1"/>
  <c r="G69" i="2" l="1"/>
  <c r="H69" i="2" s="1"/>
  <c r="I69" i="2"/>
  <c r="G70" i="2" l="1"/>
  <c r="H70" i="2" s="1"/>
  <c r="I70" i="2" s="1"/>
  <c r="G71" i="2" l="1"/>
  <c r="H71" i="2" s="1"/>
  <c r="I71" i="2"/>
  <c r="G72" i="2" l="1"/>
  <c r="H72" i="2" s="1"/>
  <c r="I72" i="2" s="1"/>
  <c r="G73" i="2" l="1"/>
  <c r="H73" i="2" s="1"/>
  <c r="I73" i="2" s="1"/>
  <c r="G74" i="2" l="1"/>
  <c r="H74" i="2" s="1"/>
  <c r="I74" i="2" s="1"/>
  <c r="G75" i="2" l="1"/>
  <c r="H75" i="2" s="1"/>
  <c r="I75" i="2" s="1"/>
  <c r="G76" i="2" l="1"/>
  <c r="H76" i="2" s="1"/>
  <c r="I76" i="2" s="1"/>
  <c r="G77" i="2" l="1"/>
  <c r="H77" i="2" s="1"/>
  <c r="I77" i="2" s="1"/>
  <c r="G78" i="2" l="1"/>
  <c r="H78" i="2" s="1"/>
  <c r="I78" i="2" s="1"/>
  <c r="G79" i="2" l="1"/>
  <c r="H79" i="2" s="1"/>
  <c r="I79" i="2" s="1"/>
  <c r="G80" i="2" l="1"/>
  <c r="H80" i="2" s="1"/>
  <c r="I80" i="2" s="1"/>
</calcChain>
</file>

<file path=xl/sharedStrings.xml><?xml version="1.0" encoding="utf-8"?>
<sst xmlns="http://schemas.openxmlformats.org/spreadsheetml/2006/main" count="406" uniqueCount="286">
  <si>
    <t>Consideraciones</t>
  </si>
  <si>
    <t>Maquinaria:</t>
  </si>
  <si>
    <t>Dolar</t>
  </si>
  <si>
    <t>Volumen silla: 19562491,675 mm^2</t>
  </si>
  <si>
    <t>Peso silla: 9 kg</t>
  </si>
  <si>
    <t>Valor dolar: $ 3729</t>
  </si>
  <si>
    <t>Tela: 420 mm x 330 mm</t>
  </si>
  <si>
    <t>Espuma y madera: 390 x 300 mm</t>
  </si>
  <si>
    <t>Lamina base: 1080 x 200 mm</t>
  </si>
  <si>
    <t>Tasa de retorno: 18% EA</t>
  </si>
  <si>
    <t>Aduanas = 19% IVA + 6 % ARANCEL</t>
  </si>
  <si>
    <t>Producción de sillas al día: 243</t>
  </si>
  <si>
    <t>Materia prima</t>
  </si>
  <si>
    <t>Proceso</t>
  </si>
  <si>
    <t>Tipo</t>
  </si>
  <si>
    <t>Valor c/u</t>
  </si>
  <si>
    <t>Unidad</t>
  </si>
  <si>
    <t>Referencia</t>
  </si>
  <si>
    <t>Total por silla</t>
  </si>
  <si>
    <t>Total + aduanas</t>
  </si>
  <si>
    <t>Link</t>
  </si>
  <si>
    <t>Silla</t>
  </si>
  <si>
    <t>HSPE (Polietileno de Alta Densidad)</t>
  </si>
  <si>
    <t>1 tonelada</t>
  </si>
  <si>
    <t>HDPE-gránulos de polietileno de alta densidad, 8008H/6095, PE-HD virgen</t>
  </si>
  <si>
    <t>Hdpe-gránulos De Polietileno De Alta Densidad,8008h/6095,Pe-hd Virgen,Plástico Hdpe,Moldura De Inyección De Materias Primas - Buy Polyethylene Pe Pellets Kunlun,Sinopec Hdpe Granules,Blowding Moulding Hdpe Ldpe Product on Alibaba.com</t>
  </si>
  <si>
    <t>Cojin</t>
  </si>
  <si>
    <t>Tela</t>
  </si>
  <si>
    <t>1.5 x 1 m</t>
  </si>
  <si>
    <t>Orión antifluido</t>
  </si>
  <si>
    <t>Tela Orión Antifluido «Galaxy plus» | Casatextil</t>
  </si>
  <si>
    <t>Cemento de contacto</t>
  </si>
  <si>
    <t>1 kl</t>
  </si>
  <si>
    <t>Afix green cemento de contacto</t>
  </si>
  <si>
    <t>Cemento de contacto | Afix</t>
  </si>
  <si>
    <t>Lamina madera</t>
  </si>
  <si>
    <t>1.22x2 .44 M</t>
  </si>
  <si>
    <t>Mdf 3.0mm de 1.22x2 .44 Mts Okume</t>
  </si>
  <si>
    <t>Mdf 3.0mm de 1.22x2 .44 Mts Okume 1 Cara - Homecenter.com.co</t>
  </si>
  <si>
    <t>Espuma</t>
  </si>
  <si>
    <t>1 x 2 m</t>
  </si>
  <si>
    <t>Extra Espuma Ros D26 Ancho 1mt x Largo 2mt Cal. 0.9cm.</t>
  </si>
  <si>
    <t>50 Unidades Tuerca Remachable 10 Mm Remache Roscado M10 | Cuotas sin interés (mercadolibre.com.co)</t>
  </si>
  <si>
    <t>Tuerca remachable</t>
  </si>
  <si>
    <t>Tuerca Remachable 10 Mm Remache Roscado M10</t>
  </si>
  <si>
    <t>Extra Espuma Ros D26 Ancho 1.0 m X Largo 2.0 m - calypso (tiendascalypso.com)</t>
  </si>
  <si>
    <t>Estructura</t>
  </si>
  <si>
    <t>Tornillos base piso</t>
  </si>
  <si>
    <t>Tornillos de cabeza de truss modificados con botón, cabezal de oblea de 8x1/2</t>
  </si>
  <si>
    <t>Tornillos De Cabeza De Truss Modificados Con Botón,Cabezal De Oblea De 8x1/2,Tornillo De Autoperforación - Buy Truss Head Screw,Wafer Head Screws,Button Head Screws Product on Alibaba.com</t>
  </si>
  <si>
    <t>Tornillos base silla</t>
  </si>
  <si>
    <t>De acero inoxidable braguero cabeza Phillips conductor de auto perforación tornillos</t>
  </si>
  <si>
    <t>De Acero Inoxidable Braguero Cabeza Phillips Conductor De Auto Perforación Tornillos - Buy Self Drilling Roofing Screws,Phillips Wafer Head Hex Head Pan Head Self Drilling Screws,Tek Roofing Screws Product on Alibaba.com</t>
  </si>
  <si>
    <t>Lamina A36 calibre 6 u 8</t>
  </si>
  <si>
    <t>1219 mm x 2440 mm</t>
  </si>
  <si>
    <t>LÁMINA HR A36 2.5 MM 4×8′</t>
  </si>
  <si>
    <t>Lámina HR A36 2.5 mm 4x8' - Tienda Fajobe</t>
  </si>
  <si>
    <t>Tubo</t>
  </si>
  <si>
    <t>6 metros</t>
  </si>
  <si>
    <t>Tubo Cuadrado 3/4 x 3/4pg x 0.8mm C20 x 6</t>
  </si>
  <si>
    <t>Tubo Cuadrado 3/4 x 3/4pg x 0.8mm C20 x 6m - Homecenter.com.co</t>
  </si>
  <si>
    <t>Pintura</t>
  </si>
  <si>
    <t>1 galón</t>
  </si>
  <si>
    <t>Pintulux Negro 3 En 1 de 1 Galón</t>
  </si>
  <si>
    <t>Pintulux 1 Galón Blanco 3en1 Metal y Maderas - Homecenter.com.co</t>
  </si>
  <si>
    <t>Embalaje</t>
  </si>
  <si>
    <t>Plástico burbuja</t>
  </si>
  <si>
    <t>1 rollo</t>
  </si>
  <si>
    <t>Rollo de plástico transparente para embalaje de burbujas de aire</t>
  </si>
  <si>
    <t>Rollo De Plástico Transparente Para Embalaje De Burbujas De Aire - Buy Air Bubble Roll Packaging,Plastic Air Bubble Roll Packaging,Transparent Plastic Air Bubble Roll Packaging Product on Alibaba.com</t>
  </si>
  <si>
    <t>TOTAL CON COJIN</t>
  </si>
  <si>
    <t>TOTAL SIN COJIN</t>
  </si>
  <si>
    <t>Corte materia prima cojin</t>
  </si>
  <si>
    <t>Cantidad</t>
  </si>
  <si>
    <t>Total</t>
  </si>
  <si>
    <t>Cortadora de tela industrial automatica</t>
  </si>
  <si>
    <t>cortadora de tela industrial, máquina para cortar blusas textiles</t>
  </si>
  <si>
    <t>Aol-cortadora De Tela Industrial,Máquina Para Cortar Blusas Textiles - Buy Blouses Cutting Machine,Textile Cutting Machine,Industrial Cloth Cutter Product on Alibaba.com</t>
  </si>
  <si>
    <t>Máquina cortadora de láminas de espuma</t>
  </si>
  <si>
    <t>Máquina cortadora eléctrica de alta precisión de láminas de espuma EPE</t>
  </si>
  <si>
    <t>Cortadora CNC para madera</t>
  </si>
  <si>
    <t>Maquina Laser Doble Cabezal Co2 Kl1810 - 180x100cm</t>
  </si>
  <si>
    <t>Maquina Laser Doble Cabezal Co2 Kl1810 - 180x100cm | MercadoLibre</t>
  </si>
  <si>
    <t>TOTAL</t>
  </si>
  <si>
    <t>Ensamble cojin</t>
  </si>
  <si>
    <t>Banda transportadora, gantry con aplicador de pegante y presurizador para juntar espuma</t>
  </si>
  <si>
    <t>Selling Best High Quality X-Y Axis Hot Melt Glue Applicator Machine With Conveyor Belt</t>
  </si>
  <si>
    <t>Banda transportadora XY</t>
  </si>
  <si>
    <t>Pick and place cartesiano</t>
  </si>
  <si>
    <t xml:space="preserve">Power Transmission Linear Gantry System Pick and Place Cartesian Robot
</t>
  </si>
  <si>
    <t>Power Transmission Linear Gantry System Pick and Place Cartesian Robot</t>
  </si>
  <si>
    <t>Prensa hidraulica</t>
  </si>
  <si>
    <t>BNTFLEX hydraulic press machine</t>
  </si>
  <si>
    <t>Máquina de Prensado hidráulico de pórtico serie YL, para Metal|Herramientas hidráulicas| - AliExpress</t>
  </si>
  <si>
    <t>JBJ Products &amp; Machinery, Inc. - Automatic Stapler Machine + prensa hidraulica</t>
  </si>
  <si>
    <t>Automatic Stapler - YouTube</t>
  </si>
  <si>
    <t>Pintura Estructura</t>
  </si>
  <si>
    <t>Cabina de pintura</t>
  </si>
  <si>
    <t>Robot de pintura eficiente y ahorro de energía cabina de recubrimiento de polvo automatizada</t>
  </si>
  <si>
    <t>Cortador de tubos</t>
  </si>
  <si>
    <t>Máquina de corte láser de fibra cnc, tubo de metal de hoja de alta calidad</t>
  </si>
  <si>
    <t>Máquina De Corte Láser De Fibra Cnc,Tubo De Metal De Hoja De Alta Calidad - Buy Laser Pipe Cutter,Laser Tube 1000w,Pipe Laser Machine Product on Alibaba.com</t>
  </si>
  <si>
    <t>Dobla Tubo Hidraulico Vertical 12 Ton</t>
  </si>
  <si>
    <t>Dobladora de tubos automática CNC, máquina dobladora de tubos de 2 pulgadas y 3 ejes de alto rendimiento</t>
  </si>
  <si>
    <t>Dobladora De Tubos Automática Cnc,Máquina Dobladora De Tubos De 2 Pulgadas Y 3 Ejes De Alto Rendimiento - Buy Tube Bending Machine,Pipe Bending Machine,Cnc Pipe Bending Machine Product on Alibaba.com</t>
  </si>
  <si>
    <t>Cortadora de lamina acero</t>
  </si>
  <si>
    <t>Máquina láser de corte de metal cnc, alta precisión, 1000w, 2000w</t>
  </si>
  <si>
    <t>Máquina Láser De Corte De Metal Cnc,Alta Precisión,1000w,2000w - Buy Fiber Optic Cnc Metal Laser Cutting Machine,Fiber Laser Cut Machine,Cnc Laser Cutting Machines Fiber Product on Alibaba.com</t>
  </si>
  <si>
    <t>Dobladora Hidraulica</t>
  </si>
  <si>
    <t>Dobladora Hidráulica</t>
  </si>
  <si>
    <t>https://articulo.mercadolibre.com.co/MCO-614788259-dobladora-hidraulica-_JM#reco_item_pos=0&amp;reco_backend=machinalis-seller-items&amp;reco_backend_type=low_level&amp;reco_client=vip-seller_items-above&amp;reco_id=db50efcf-c56f-488d-98cb-e6fcd9ce73d1</t>
  </si>
  <si>
    <t>Troquel de Doblado</t>
  </si>
  <si>
    <t>Troquel personalizado para la silla</t>
  </si>
  <si>
    <t>Robot industrial para soldadura + accesorios</t>
  </si>
  <si>
    <t>Robot Industrial 6Kg, brazo de carga, 6 ejes, controlador para soldadura TIG/MIG</t>
  </si>
  <si>
    <t>Robot Industrial 6 Personalizada,6kg,Brazo De Carga,6 Ejes,Controlador Para Soldadura Tig/mig - Buy Multi-joint Industrial Robot,Robot Industrial Robot,6 Axis Robot Controller For Tig/mig Welding Product on Alibaba.com</t>
  </si>
  <si>
    <t>(32) Robot soldador - feria internacional de Bogotá - YouTube</t>
  </si>
  <si>
    <t>Ensamble base cojin</t>
  </si>
  <si>
    <t xml:space="preserve">Atornillado semi-automático </t>
  </si>
  <si>
    <t>Tornillo automático de alimentación y de la máquina de conducir para producto eléctrico de alimentador automático</t>
  </si>
  <si>
    <t>Tornillo Automático De Alimentación Y De La Máquina De Conducir Para Producto Eléctrico De Alimentador Automático - Buy Screwdriver,Automatic Screwdriver,Automatic Feeder Product on Alibaba.com</t>
  </si>
  <si>
    <t>Remachadora automática</t>
  </si>
  <si>
    <t>Alta eficiencia inteligente hidráulica PEM loco máquina remachadora automática</t>
  </si>
  <si>
    <t>Envolvedora de base</t>
  </si>
  <si>
    <t>Máquina de envoltura de palés de película elástica, automática, con prensa superior, 300%</t>
  </si>
  <si>
    <t>Máquina De Envoltura De Palés De Película Elástica,Automática,Con Prensa Superior,300% - Buy Pallet Wrapping Machine Product on Alibaba.com</t>
  </si>
  <si>
    <t>Envolvedora de palets</t>
  </si>
  <si>
    <t>Máquina automática de envoltura de palés, envoltura de palés</t>
  </si>
  <si>
    <t>Envoltorio De Palés Con Brazo Giratorio Completamente Automático Inteligente - Buy Rotating Arm Pallet Wrapper Product on Alibaba.com</t>
  </si>
  <si>
    <t>Apilador palés</t>
  </si>
  <si>
    <t>Apilador eléctrico de 1,6 toneladas de altura, carretilla elevadora de 3,5 m, apilador de palés</t>
  </si>
  <si>
    <t>Apilador Eléctrico De 1,6 Toneladas De Altura,Carretilla Elevadora De 3,5 M,Apilador De Palés - Buy Stacker Forklift,Pallet Stacker,Full Electric Pallet Stacker Product on Alibaba.com</t>
  </si>
  <si>
    <t xml:space="preserve">Embalaje tuercas y tornillos </t>
  </si>
  <si>
    <t>automática completa contando/clasificación de aluminio tornillos de máquina de embalaje</t>
  </si>
  <si>
    <t>Foshan China Automática Completa Contando/clasificación De Aluminio Tornillos De Máquina De Embalaje - Buy Aluminum Screws Packing Machine,Screws Packing Machine,Screw Counting And Packing Machine Product on Alibaba.com</t>
  </si>
  <si>
    <t>Estantería</t>
  </si>
  <si>
    <t>Estantería de Metal de acero para uso Industrial, sistema de almacenamiento de estanterías de palés de alta resistencia</t>
  </si>
  <si>
    <t>Lijin-estantería De Metal De Acero Para Uso Industrial,Sistema De Almacenamiento De Estanterías De Palés De Alta Resistencia - Buy Custom Adjustable Industrial Long Span Factory Wholesale Metallic Rack Shelves,Large Capacity Assemble Logistics Storage Selective Rack Solutions,Industry Manufacturer Widespan Wholesales Price Stackable Steel Rack Pallets Shelving Product on Alibaba.com</t>
  </si>
  <si>
    <t>Transporte</t>
  </si>
  <si>
    <t>Banda transportadora</t>
  </si>
  <si>
    <t>25 m</t>
  </si>
  <si>
    <t>Cinta transportadora de rodillos de gravedad automática, sistema de cinta transportadora</t>
  </si>
  <si>
    <t>Cinta Transportadora De Rodillos De Gravedad Automática,Sistema De Cinta Transportadora - Buy Conveyor Belt,Banda Transportadora,Powder Belt Conveyor Product on Alibaba.com</t>
  </si>
  <si>
    <t>Carro apilador</t>
  </si>
  <si>
    <t>Apilador electrico</t>
  </si>
  <si>
    <t>Apilador electrico - Maquinaria industrial - 1114456531 (olx.com.co)</t>
  </si>
  <si>
    <t>Control de calidad</t>
  </si>
  <si>
    <t>Calibrador pie de rey</t>
  </si>
  <si>
    <t>Calibrador Digital Pie de Rey 6-pulg Ubermann</t>
  </si>
  <si>
    <t>Calibrador Digital Pie de Rey 6-pulg Ubermann - Homecenter.com.co</t>
  </si>
  <si>
    <t>Mantenimiento</t>
  </si>
  <si>
    <t>Mantenimiento anual</t>
  </si>
  <si>
    <t>Maquinaria recomendada para mantenimiento</t>
  </si>
  <si>
    <t>Industrial Machinery Mechanics, Machinery Maintenance Workers, and Millwrights : Occupational Outlook Handbook: : U.S. Bureau of Labor Statistics (bls.gov)</t>
  </si>
  <si>
    <t>Otros costos fijos</t>
  </si>
  <si>
    <t>Detalles</t>
  </si>
  <si>
    <t>Ingeniero mecatrónico</t>
  </si>
  <si>
    <t>Estudiantes APM</t>
  </si>
  <si>
    <t>Operario sopladora</t>
  </si>
  <si>
    <t>Operario cortadora de tela industrial</t>
  </si>
  <si>
    <t>Operario  cortadora de láminas de espuma</t>
  </si>
  <si>
    <t>Operario cortadora CNC para madera</t>
  </si>
  <si>
    <t>Operario rocado de tubos</t>
  </si>
  <si>
    <t>Operario cortadora de lamina acero</t>
  </si>
  <si>
    <t>Operario dobladora laminas</t>
  </si>
  <si>
    <t>Operario robot industrial para soldadura</t>
  </si>
  <si>
    <t>Atornillado semi-automático</t>
  </si>
  <si>
    <t>Operario control de calidad</t>
  </si>
  <si>
    <t>Operario embalaje</t>
  </si>
  <si>
    <t>Operario montacargas</t>
  </si>
  <si>
    <t>Personal administrativo</t>
  </si>
  <si>
    <t>Supervisor</t>
  </si>
  <si>
    <t>Operario mantenimiento</t>
  </si>
  <si>
    <t>Operario transporte de material dentro de la fábrica</t>
  </si>
  <si>
    <t xml:space="preserve">Personal aseo </t>
  </si>
  <si>
    <t>Celaduría</t>
  </si>
  <si>
    <t xml:space="preserve">Arriendo </t>
  </si>
  <si>
    <t>Lote y bodega zona franca Barranquilla</t>
  </si>
  <si>
    <t>Lotes y Bodegas Disponibles en Barranquilla, Zona Franca (zonafrancalacayena.com)</t>
  </si>
  <si>
    <t>Servicios públicos</t>
  </si>
  <si>
    <t>Publicidad</t>
  </si>
  <si>
    <r>
      <rPr>
        <b/>
        <sz val="12"/>
        <color theme="1"/>
        <rFont val="Arial"/>
      </rPr>
      <t xml:space="preserve">Software </t>
    </r>
    <r>
      <rPr>
        <b/>
        <sz val="12"/>
        <color rgb="FFFF0000"/>
        <rFont val="Arial"/>
      </rPr>
      <t>DANIEL*** (consulta)</t>
    </r>
  </si>
  <si>
    <t>Studio 5000</t>
  </si>
  <si>
    <t>1 Licencia Estandar de la Suite Studio 5000</t>
  </si>
  <si>
    <t>https://twcontrols.com/lessons/where-can-i-download-studio-5000-logix-designer-rslogix-5000-and-what-is-the-pricedifference-of-each-version</t>
  </si>
  <si>
    <t>Siemenx NX</t>
  </si>
  <si>
    <t>Licencia estandar NX + PLM</t>
  </si>
  <si>
    <t>https://all3dp.com/1/best-cad-software/</t>
  </si>
  <si>
    <t>Ignition</t>
  </si>
  <si>
    <t>Ignition + Plataforma de desarrollo Perspective</t>
  </si>
  <si>
    <t>https://inductiveautomation.com/pricing/ignition</t>
  </si>
  <si>
    <t>**** Puede Haber mas</t>
  </si>
  <si>
    <t>Otros</t>
  </si>
  <si>
    <t>Computador gama alta</t>
  </si>
  <si>
    <t>Computador Empresarial Lenovo Thinkcentre M920z Intel Win 10</t>
  </si>
  <si>
    <t>Computador Empresarial Lenovo Thinkcentre M920z Intel Win 10 | Cuotas sin interés (mercadolibre.com.co)</t>
  </si>
  <si>
    <t>Computador gama baja</t>
  </si>
  <si>
    <t>La Computadora Portatil Empresarial De Alto Rendimiento</t>
  </si>
  <si>
    <t>PLCs</t>
  </si>
  <si>
    <t>PLC/PAC Allen Bradley 1769-L30ERD + Slots I/O</t>
  </si>
  <si>
    <t>Sensores</t>
  </si>
  <si>
    <t>Puestos de trabajo</t>
  </si>
  <si>
    <t>Puestos de trabajos variados</t>
  </si>
  <si>
    <t>Herramientas variadas</t>
  </si>
  <si>
    <t>Inyectora o sopladora</t>
  </si>
  <si>
    <t>Contacto - Imocom · Plástico</t>
  </si>
  <si>
    <t>Buen día, soy estudiante de último semestre de ingeniería mecatrónica de la UNAL. Se está realizando un ejercicio académico de la materia llamada automatización de procesos de manufactura, en la que se requiere cotizar la inyectora y sopladora, para realizar sillas plásticas de base 400 x 422 mm y de alto de espaldar de 650 mm. Agradecería mucho la información.</t>
  </si>
  <si>
    <t>Tecnova S.A.S. (tecnovasa.com)</t>
  </si>
  <si>
    <t>http://polyprint-america.com/plasticos</t>
  </si>
  <si>
    <t>Robot industrial para soldadura</t>
  </si>
  <si>
    <t>https://www.metalmecanica.com/</t>
  </si>
  <si>
    <t>Buen día, mi nombre es Paula Medina, soy estudiante de último semestre de ingeniería mecatrónica de la UNAL. Se está realizando un ejercicio académico de la materia llamada automatización de procesos de manufactura, en la que se requiere cotizar un robot industrial para soldadura. Agradecería mucho la información.</t>
  </si>
  <si>
    <t>https://robotika.com.co/</t>
  </si>
  <si>
    <t>http://www.le-robotics.com/</t>
  </si>
  <si>
    <t>Dobla Tubo Hidraulico Vertical 12 Ton | Envío gratis (mercadolibre.com.co)</t>
  </si>
  <si>
    <t>Pareja De Lamina, Dobladora Y Cortadorazymt 2021 | MercadoLibre</t>
  </si>
  <si>
    <t>Cortadora de tela multicapa | Lectra Vector iQ Series (madingenieros.com)</t>
  </si>
  <si>
    <t>Buen día, mi nombre es Paula Medina, soy estudiante de último semestre de ingeniería mecatrónica de la UNAL. Se está realizando un ejercicio académico de la materia llamada automatización de procesos de manufactura, en la que se requiere cotizar la cortadora de tela multicapa. Agradecería mucho la información.</t>
  </si>
  <si>
    <t>Multicapa - Fukutex</t>
  </si>
  <si>
    <t>Máquina de corte de tela de tela CNC automática, máquina de corte automatizada multi capa, máquina de corte de tela de capa única automática CNC, máquina automática de extensión de tela, mesa de corte de tela textil - Tiempo (timingcutter.com)</t>
  </si>
  <si>
    <t>Cortadora de espuma</t>
  </si>
  <si>
    <t>https://spanish.alibaba.com/p-detail/High-1600427882383.html?spm=a2700.7724857.normal_offer.d_title.3c2773cbsgAXwy&amp;s=p</t>
  </si>
  <si>
    <t xml:space="preserve">Cuanto vale el envio </t>
  </si>
  <si>
    <t>Plastico POLIETILENO DE ALTA DENSIDAD (HDPE)</t>
  </si>
  <si>
    <t>Disponible polietileno de alta densidad para soplado (catalogodelempaque.com)</t>
  </si>
  <si>
    <t>Buen día, quisiera realizar una cotización de una tonelada de HDPE. Gracias</t>
  </si>
  <si>
    <t>Comprar HDPE (Polietileno de Alta Densidad) en SoloStocks Colombia. Plástico y Caucho</t>
  </si>
  <si>
    <t>Venta De Polietileno De Alta Densidad En Bogota – FRUGOL</t>
  </si>
  <si>
    <t>Transporte: Admision de lamina a la cortadora</t>
  </si>
  <si>
    <t>Se hace con un conveyor de rodillos metálicos, depende del ancho de la placa y la máquina de corte</t>
  </si>
  <si>
    <t>https://www.youtube.com/watch?v=0fM5j8VeC78</t>
  </si>
  <si>
    <t>similar a este</t>
  </si>
  <si>
    <t>https://venmir.com/bandas-transportadoras-de-rodillos/</t>
  </si>
  <si>
    <t>precio aprox: 15'000000</t>
  </si>
  <si>
    <t>Doblado de Lámina: Puede usarse la prensa hidraulica mencionada anteriormente mas los troqueles de pliegue</t>
  </si>
  <si>
    <t>https://www.youtube.com/watch?v=woMELHmq3UI</t>
  </si>
  <si>
    <t>similares a estos, pero mucho mas grandes</t>
  </si>
  <si>
    <t>Troquel personalizado</t>
  </si>
  <si>
    <t>precio aprox 30'000000</t>
  </si>
  <si>
    <t>Descarga a Banda transportadora</t>
  </si>
  <si>
    <t>Pueden usarse pistones neumaticos, similares a los del lab (o mas pesados</t>
  </si>
  <si>
    <t>precio aprox: 1000000</t>
  </si>
  <si>
    <t>PLC/PAC</t>
  </si>
  <si>
    <t>Depende de las automatizaciones que se requieran y si requieren control de movimiento</t>
  </si>
  <si>
    <t>No pueden estar sueltos, asi que deben cada uno tener una caja</t>
  </si>
  <si>
    <t>Un plc puede recibir varias tareas sencillas asi que lo acote a los 3 automatizados que debemos controlar</t>
  </si>
  <si>
    <t>https://www.plchardware.com/Products/RA-1769-L33ER.aspx</t>
  </si>
  <si>
    <t>2400 usd + tarjetas de entrada/salida + Fuente DC + Gabinete</t>
  </si>
  <si>
    <t>Pueden ser por ahora ópticos de barrera o reflexion, 2 por cada banda transportadora</t>
  </si>
  <si>
    <t>https://www.plchardware.com/Products/85/5398859/RA-05150-11173.aspx</t>
  </si>
  <si>
    <t>170 USD cada uno</t>
  </si>
  <si>
    <t>VP</t>
  </si>
  <si>
    <t>n</t>
  </si>
  <si>
    <t>MES</t>
  </si>
  <si>
    <t>i</t>
  </si>
  <si>
    <t>EM</t>
  </si>
  <si>
    <t>PAGO</t>
  </si>
  <si>
    <t>N</t>
  </si>
  <si>
    <t>int</t>
  </si>
  <si>
    <t>K</t>
  </si>
  <si>
    <t>SALDO</t>
  </si>
  <si>
    <t>Costos fijos mensuales</t>
  </si>
  <si>
    <t>Materia prima silla sin cojin</t>
  </si>
  <si>
    <t>Materia prima silla con cojin</t>
  </si>
  <si>
    <t>Servicios</t>
  </si>
  <si>
    <t>Sueldos</t>
  </si>
  <si>
    <t>Obligaciones financieras</t>
  </si>
  <si>
    <t>Mantenimiendo</t>
  </si>
  <si>
    <t>Software</t>
  </si>
  <si>
    <t>Unidades producidas mensual</t>
  </si>
  <si>
    <t xml:space="preserve">Ganancia punto de equilibrio </t>
  </si>
  <si>
    <t xml:space="preserve">Valor de silla sin cojin </t>
  </si>
  <si>
    <t>Valor de silla con cojin</t>
  </si>
  <si>
    <t>Mes</t>
  </si>
  <si>
    <t xml:space="preserve">Ingresos </t>
  </si>
  <si>
    <t>Costos</t>
  </si>
  <si>
    <t>Utilidad bruta</t>
  </si>
  <si>
    <t>VPN</t>
  </si>
  <si>
    <t>TIR</t>
  </si>
  <si>
    <t>IR</t>
  </si>
  <si>
    <t>Estado de resultados</t>
  </si>
  <si>
    <t>Ventas</t>
  </si>
  <si>
    <t>Gastos financieros</t>
  </si>
  <si>
    <t>Utilidad antes de impuestos</t>
  </si>
  <si>
    <t>Impuestos (19%)</t>
  </si>
  <si>
    <t>Utilidad neta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</si>
</sst>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 #,##0.00_-;\-&quot;$&quot;\ * #,##0.00_-;_-&quot;$&quot;\ * &quot;-&quot;??_-;_-@_-"/>
    <numFmt numFmtId="164" formatCode="#,##0\ [$€-1]"/>
    <numFmt numFmtId="167" formatCode="[$$-240A]\ #,##0.00"/>
    <numFmt numFmtId="168" formatCode="_-[$$-240A]\ * #,##0.00_-;\-[$$-240A]\ * #,##0.00_-;_-[$$-240A]\ * &quot;-&quot;??_-;_-@_-"/>
    <numFmt numFmtId="170" formatCode="_-&quot;$&quot;\ * #,##0_-;\-&quot;$&quot;\ * #,##0_-;_-&quot;$&quot;\ * &quot;-&quot;??_-;_-@_-"/>
  </numFmts>
  <fonts count="26" x14ac:knownFonts="1">
    <font>
      <sz val="10"/>
      <color rgb="FF000000"/>
      <name val="Arial"/>
      <scheme val="minor"/>
    </font>
    <font>
      <b/>
      <sz val="12"/>
      <color theme="1"/>
      <name val="Arial"/>
      <scheme val="minor"/>
    </font>
    <font>
      <b/>
      <sz val="11"/>
      <color theme="1"/>
      <name val="Arial"/>
      <scheme val="minor"/>
    </font>
    <font>
      <sz val="10"/>
      <color theme="1"/>
      <name val="Arial"/>
      <scheme val="minor"/>
    </font>
    <font>
      <sz val="10"/>
      <name val="Arial"/>
    </font>
    <font>
      <b/>
      <sz val="10"/>
      <color theme="1"/>
      <name val="Arial"/>
      <scheme val="minor"/>
    </font>
    <font>
      <u/>
      <sz val="10"/>
      <color rgb="FF1155CC"/>
      <name val="Arial"/>
    </font>
    <font>
      <u/>
      <sz val="10"/>
      <color rgb="FF1155CC"/>
      <name val="Arial"/>
    </font>
    <font>
      <u/>
      <sz val="10"/>
      <color rgb="FF0000FF"/>
      <name val="Arial"/>
    </font>
    <font>
      <b/>
      <sz val="9"/>
      <color theme="1"/>
      <name val="Arial"/>
      <scheme val="minor"/>
    </font>
    <font>
      <sz val="10"/>
      <color rgb="FF333333"/>
      <name val="Arial"/>
      <scheme val="minor"/>
    </font>
    <font>
      <sz val="10"/>
      <color theme="1"/>
      <name val="Arial"/>
      <scheme val="minor"/>
    </font>
    <font>
      <sz val="10"/>
      <color rgb="FF151515"/>
      <name val="Arial"/>
      <scheme val="minor"/>
    </font>
    <font>
      <b/>
      <sz val="10"/>
      <color theme="1"/>
      <name val="Arial"/>
      <scheme val="minor"/>
    </font>
    <font>
      <u/>
      <sz val="12"/>
      <color rgb="FF1155CC"/>
      <name val="Roboto"/>
    </font>
    <font>
      <sz val="10"/>
      <color rgb="FF000000"/>
      <name val="Roboto"/>
    </font>
    <font>
      <sz val="10"/>
      <color theme="1"/>
      <name val="Arial"/>
    </font>
    <font>
      <u/>
      <sz val="10"/>
      <color rgb="FF1155CC"/>
      <name val="Arial"/>
      <scheme val="minor"/>
    </font>
    <font>
      <u/>
      <sz val="10"/>
      <color rgb="FF0000FF"/>
      <name val="Arial"/>
    </font>
    <font>
      <sz val="10"/>
      <color rgb="FF222222"/>
      <name val="Arial"/>
    </font>
    <font>
      <b/>
      <sz val="11"/>
      <color rgb="FF000000"/>
      <name val="Calibri"/>
    </font>
    <font>
      <sz val="11"/>
      <color rgb="FF000000"/>
      <name val="Calibri"/>
    </font>
    <font>
      <b/>
      <sz val="12"/>
      <color theme="1"/>
      <name val="Arial"/>
    </font>
    <font>
      <b/>
      <sz val="12"/>
      <color rgb="FFFF0000"/>
      <name val="Arial"/>
    </font>
    <font>
      <sz val="10"/>
      <color rgb="FF000000"/>
      <name val="Arial"/>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44" fontId="24" fillId="0" borderId="0" applyFont="0" applyFill="0" applyBorder="0" applyAlignment="0" applyProtection="0"/>
  </cellStyleXfs>
  <cellXfs count="78">
    <xf numFmtId="0" fontId="0" fillId="0" borderId="0" xfId="0" applyFont="1" applyAlignment="1"/>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applyAlignment="1"/>
    <xf numFmtId="164" fontId="3" fillId="0" borderId="1" xfId="0" applyNumberFormat="1" applyFont="1" applyBorder="1" applyAlignment="1"/>
    <xf numFmtId="0" fontId="3" fillId="0" borderId="0" xfId="0" applyFont="1" applyAlignment="1"/>
    <xf numFmtId="0" fontId="1" fillId="0" borderId="0" xfId="0" applyFont="1" applyAlignment="1"/>
    <xf numFmtId="0" fontId="5" fillId="0" borderId="1" xfId="0" applyFont="1" applyBorder="1" applyAlignment="1"/>
    <xf numFmtId="0" fontId="3" fillId="0" borderId="1" xfId="0" applyFont="1" applyBorder="1" applyAlignment="1">
      <alignment vertical="center"/>
    </xf>
    <xf numFmtId="0" fontId="6" fillId="0" borderId="1" xfId="0" applyFont="1" applyBorder="1" applyAlignment="1"/>
    <xf numFmtId="164" fontId="3" fillId="0" borderId="1" xfId="0" applyNumberFormat="1" applyFont="1" applyBorder="1"/>
    <xf numFmtId="0" fontId="7" fillId="0" borderId="0" xfId="0" applyFont="1" applyAlignment="1"/>
    <xf numFmtId="0" fontId="8" fillId="0" borderId="1" xfId="0" applyFont="1" applyBorder="1" applyAlignment="1"/>
    <xf numFmtId="0" fontId="9" fillId="0" borderId="0" xfId="0" applyFont="1" applyAlignment="1"/>
    <xf numFmtId="0" fontId="10" fillId="2" borderId="1" xfId="0" applyFont="1" applyFill="1" applyBorder="1" applyAlignment="1">
      <alignment horizontal="left"/>
    </xf>
    <xf numFmtId="0" fontId="1" fillId="0" borderId="0" xfId="0" applyFont="1" applyAlignment="1">
      <alignment horizontal="right"/>
    </xf>
    <xf numFmtId="0" fontId="11" fillId="0" borderId="1" xfId="0" applyFont="1" applyBorder="1" applyAlignment="1"/>
    <xf numFmtId="0" fontId="12" fillId="2" borderId="1" xfId="0" applyFont="1" applyFill="1" applyBorder="1" applyAlignment="1">
      <alignment horizontal="left"/>
    </xf>
    <xf numFmtId="0" fontId="11" fillId="3" borderId="1" xfId="0" applyFont="1" applyFill="1" applyBorder="1" applyAlignment="1"/>
    <xf numFmtId="0" fontId="1" fillId="0" borderId="0" xfId="0" applyFont="1" applyAlignment="1">
      <alignment horizontal="center"/>
    </xf>
    <xf numFmtId="0" fontId="14" fillId="2" borderId="1" xfId="0" applyFont="1" applyFill="1" applyBorder="1" applyAlignment="1">
      <alignment horizontal="left"/>
    </xf>
    <xf numFmtId="0" fontId="5" fillId="0" borderId="1" xfId="0" applyFont="1"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xf>
    <xf numFmtId="164" fontId="0" fillId="2" borderId="1" xfId="0" applyNumberFormat="1" applyFont="1" applyFill="1" applyBorder="1"/>
    <xf numFmtId="0" fontId="3" fillId="0" borderId="1" xfId="0" applyFont="1" applyBorder="1" applyAlignment="1">
      <alignment horizontal="center" vertical="center"/>
    </xf>
    <xf numFmtId="0" fontId="3" fillId="0" borderId="1" xfId="0" applyFont="1" applyBorder="1"/>
    <xf numFmtId="0" fontId="5" fillId="0" borderId="0" xfId="0" applyFont="1" applyAlignment="1">
      <alignment horizontal="right"/>
    </xf>
    <xf numFmtId="0" fontId="15" fillId="2" borderId="1" xfId="0" applyFont="1" applyFill="1" applyBorder="1" applyAlignment="1"/>
    <xf numFmtId="164" fontId="5" fillId="0" borderId="1" xfId="0" applyNumberFormat="1" applyFont="1" applyBorder="1" applyAlignment="1">
      <alignment horizontal="right"/>
    </xf>
    <xf numFmtId="0" fontId="5" fillId="0" borderId="1" xfId="0" applyFont="1" applyBorder="1" applyAlignment="1">
      <alignment horizontal="center"/>
    </xf>
    <xf numFmtId="0" fontId="16" fillId="0" borderId="1" xfId="0" applyFont="1" applyBorder="1" applyAlignment="1"/>
    <xf numFmtId="0" fontId="16" fillId="0" borderId="0" xfId="0" quotePrefix="1" applyFont="1" applyAlignment="1"/>
    <xf numFmtId="0" fontId="17" fillId="0" borderId="0" xfId="0" applyFont="1" applyAlignment="1"/>
    <xf numFmtId="0" fontId="18" fillId="0" borderId="0" xfId="0" applyFont="1" applyAlignment="1"/>
    <xf numFmtId="0" fontId="15" fillId="0" borderId="0" xfId="0" applyFont="1" applyAlignment="1"/>
    <xf numFmtId="0" fontId="19" fillId="2" borderId="0" xfId="0" applyFont="1" applyFill="1"/>
    <xf numFmtId="0" fontId="20" fillId="0" borderId="0" xfId="0" applyFont="1" applyAlignment="1"/>
    <xf numFmtId="0" fontId="21" fillId="0" borderId="0" xfId="0" applyFont="1" applyAlignment="1"/>
    <xf numFmtId="0" fontId="21" fillId="0" borderId="0" xfId="0" applyFont="1" applyAlignment="1">
      <alignment horizontal="right"/>
    </xf>
    <xf numFmtId="0" fontId="21" fillId="0" borderId="0" xfId="0" applyFont="1" applyAlignment="1"/>
    <xf numFmtId="10" fontId="21" fillId="0" borderId="0" xfId="0" applyNumberFormat="1" applyFont="1" applyAlignment="1">
      <alignment horizontal="right"/>
    </xf>
    <xf numFmtId="0" fontId="20" fillId="0" borderId="1" xfId="0" applyFont="1" applyBorder="1" applyAlignment="1"/>
    <xf numFmtId="0" fontId="21" fillId="0" borderId="1" xfId="0" applyFont="1" applyBorder="1" applyAlignment="1">
      <alignment horizontal="right"/>
    </xf>
    <xf numFmtId="0" fontId="1" fillId="0" borderId="1" xfId="0" applyFont="1" applyBorder="1" applyAlignment="1"/>
    <xf numFmtId="9" fontId="3" fillId="0" borderId="0" xfId="0" applyNumberFormat="1" applyFont="1"/>
    <xf numFmtId="0" fontId="3" fillId="0" borderId="0" xfId="0" applyFont="1"/>
    <xf numFmtId="0" fontId="13" fillId="0" borderId="1" xfId="0" applyFont="1" applyBorder="1" applyAlignment="1"/>
    <xf numFmtId="0" fontId="3" fillId="0" borderId="5" xfId="0" applyFont="1" applyBorder="1" applyAlignment="1">
      <alignment horizontal="center" vertical="center"/>
    </xf>
    <xf numFmtId="0" fontId="4" fillId="0" borderId="6" xfId="0" applyFont="1" applyBorder="1"/>
    <xf numFmtId="0" fontId="4" fillId="0" borderId="7" xfId="0" applyFont="1" applyBorder="1"/>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 fillId="0" borderId="2" xfId="0" applyFont="1" applyBorder="1" applyAlignment="1">
      <alignment horizontal="center"/>
    </xf>
    <xf numFmtId="0" fontId="4" fillId="0" borderId="3" xfId="0" applyFont="1" applyBorder="1"/>
    <xf numFmtId="0" fontId="4" fillId="0" borderId="4" xfId="0" applyFont="1" applyBorder="1"/>
    <xf numFmtId="0" fontId="1" fillId="0" borderId="2" xfId="0" applyFont="1" applyBorder="1" applyAlignment="1">
      <alignment horizontal="center" vertical="center"/>
    </xf>
    <xf numFmtId="0" fontId="1" fillId="0" borderId="2" xfId="0" applyFont="1" applyBorder="1" applyAlignment="1">
      <alignment horizontal="center" wrapText="1"/>
    </xf>
    <xf numFmtId="0" fontId="3" fillId="0" borderId="5" xfId="0" applyFont="1" applyBorder="1" applyAlignment="1">
      <alignment vertical="center"/>
    </xf>
    <xf numFmtId="0" fontId="21" fillId="0" borderId="0" xfId="0" applyFont="1" applyAlignment="1"/>
    <xf numFmtId="0" fontId="0" fillId="0" borderId="0" xfId="0" applyFont="1" applyAlignment="1"/>
    <xf numFmtId="167" fontId="0" fillId="0" borderId="0" xfId="0" applyNumberFormat="1" applyFont="1" applyAlignment="1"/>
    <xf numFmtId="44" fontId="3" fillId="0" borderId="1" xfId="1" applyFont="1" applyBorder="1" applyAlignment="1"/>
    <xf numFmtId="44" fontId="3" fillId="0" borderId="1" xfId="1" applyFont="1" applyBorder="1"/>
    <xf numFmtId="168" fontId="3" fillId="0" borderId="1" xfId="1" applyNumberFormat="1" applyFont="1" applyBorder="1" applyAlignment="1"/>
    <xf numFmtId="170" fontId="3" fillId="0" borderId="1" xfId="1" applyNumberFormat="1" applyFont="1" applyBorder="1" applyAlignment="1"/>
    <xf numFmtId="44" fontId="3" fillId="0" borderId="0" xfId="1" applyFont="1"/>
    <xf numFmtId="44" fontId="25" fillId="0" borderId="1" xfId="1" applyFont="1" applyBorder="1" applyAlignment="1">
      <alignment horizontal="right"/>
    </xf>
    <xf numFmtId="44" fontId="13" fillId="0" borderId="0" xfId="1" applyFont="1" applyAlignment="1">
      <alignment horizontal="center"/>
    </xf>
    <xf numFmtId="44" fontId="11" fillId="0" borderId="1" xfId="1" applyFont="1" applyBorder="1" applyAlignment="1">
      <alignment horizontal="right"/>
    </xf>
    <xf numFmtId="44" fontId="5" fillId="0" borderId="0" xfId="1" applyFont="1"/>
    <xf numFmtId="170" fontId="21" fillId="0" borderId="1" xfId="1" applyNumberFormat="1" applyFont="1" applyBorder="1" applyAlignment="1"/>
    <xf numFmtId="170" fontId="21" fillId="0" borderId="0" xfId="1" applyNumberFormat="1" applyFont="1" applyAlignment="1">
      <alignment horizontal="right"/>
    </xf>
    <xf numFmtId="170" fontId="21" fillId="0" borderId="0" xfId="1" applyNumberFormat="1" applyFont="1" applyAlignment="1"/>
    <xf numFmtId="170" fontId="3" fillId="0" borderId="1" xfId="1" applyNumberFormat="1" applyFont="1" applyBorder="1"/>
    <xf numFmtId="170" fontId="3" fillId="0" borderId="0" xfId="1" applyNumberFormat="1" applyFont="1"/>
    <xf numFmtId="170" fontId="0" fillId="0" borderId="0" xfId="1" applyNumberFormat="1" applyFont="1" applyAlignment="1"/>
    <xf numFmtId="170" fontId="11" fillId="2" borderId="0" xfId="1" applyNumberFormat="1" applyFont="1" applyFill="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panish.alibaba.com/p-detail/AOL-60844800044.html?spm=a2700.7724857.normal_offer.d_title.59dd7d0bmIyWyw&amp;s=p" TargetMode="External"/><Relationship Id="rId18" Type="http://schemas.openxmlformats.org/officeDocument/2006/relationships/hyperlink" Target="https://www.youtube.com/watch?v=hCmMhiRxNaM" TargetMode="External"/><Relationship Id="rId26" Type="http://schemas.openxmlformats.org/officeDocument/2006/relationships/hyperlink" Target="https://spanish.alibaba.com/p-detail/Automatic-62347092588.html?spm=a2700.galleryofferlist.normal_offer.d_title.5a302c8dZ9qAbS" TargetMode="External"/><Relationship Id="rId39" Type="http://schemas.openxmlformats.org/officeDocument/2006/relationships/hyperlink" Target="https://inductiveautomation.com/pricing/ignition" TargetMode="External"/><Relationship Id="rId21" Type="http://schemas.openxmlformats.org/officeDocument/2006/relationships/hyperlink" Target="https://spanish.alibaba.com/p-detail/High-1600303044042.html?spm=a2700.galleryofferlist.normal_offer.d_title.2d6a45feuN6DRk&amp;s=p" TargetMode="External"/><Relationship Id="rId34" Type="http://schemas.openxmlformats.org/officeDocument/2006/relationships/hyperlink" Target="https://www.olx.com.co/item/apilador-electrico-iid-1114456531" TargetMode="External"/><Relationship Id="rId42" Type="http://schemas.openxmlformats.org/officeDocument/2006/relationships/hyperlink" Target="https://www.tecnovasa.com/" TargetMode="External"/><Relationship Id="rId47" Type="http://schemas.openxmlformats.org/officeDocument/2006/relationships/hyperlink" Target="https://articulo.mercadolibre.com.co/MCO-451251938-dobla-tubo-hidraulico-vertical-12-ton-_JM?matt_tool=70147493&amp;matt_word=&amp;matt_source=google&amp;matt_campaign_id=14633851809&amp;matt_ad_group_id=122277564930&amp;matt_match_type=&amp;matt_network=g&amp;matt_device=c&amp;matt_creative=545410559217&amp;matt_keyword=&amp;matt_ad_position=&amp;matt_ad_type=pla&amp;matt_merchant_id=184242387&amp;matt_product_id=MCO451251938&amp;matt_product_partition_id=1403869200214&amp;matt_target_id=pla-1403869200214&amp;gclid=Cj0KCQjwxtSSBhDYARIsAEn0thQFUJ6i6_enC2U4ZPQ5j4CRtAKEwS-uZjV5AgfbExyjXMlC6XfW9qQaAqxEEALw_wcB" TargetMode="External"/><Relationship Id="rId50" Type="http://schemas.openxmlformats.org/officeDocument/2006/relationships/hyperlink" Target="https://fukutex.com/producto/multicapa/" TargetMode="External"/><Relationship Id="rId55" Type="http://schemas.openxmlformats.org/officeDocument/2006/relationships/hyperlink" Target="https://frugol.com.co/venta-de-polietileno-de-alta-densidad-en-bogota/" TargetMode="External"/><Relationship Id="rId7" Type="http://schemas.openxmlformats.org/officeDocument/2006/relationships/hyperlink" Target="https://spanish.alibaba.com/p-detail/button-60841261969.html?spm=a2700.8699010.29.2.146a70ccQ2rDUK" TargetMode="External"/><Relationship Id="rId2" Type="http://schemas.openxmlformats.org/officeDocument/2006/relationships/hyperlink" Target="https://casatextil.co/orion/" TargetMode="External"/><Relationship Id="rId16" Type="http://schemas.openxmlformats.org/officeDocument/2006/relationships/hyperlink" Target="https://www.alibaba.com/product-detail/Power-Transmission-Linear-Gantry-System-Pick_1600212597262.html?spm=a2700.galleryofferlist.0.0.5d531be416TTFm" TargetMode="External"/><Relationship Id="rId29" Type="http://schemas.openxmlformats.org/officeDocument/2006/relationships/hyperlink" Target="https://spanish.alibaba.com/p-detail/Intelligent-1600072640282.html?spm=a2700.galleryofferlist.normal_offer.d_title.59de712atkJinM" TargetMode="External"/><Relationship Id="rId11" Type="http://schemas.openxmlformats.org/officeDocument/2006/relationships/hyperlink" Target="https://www.homecenter.com.co/homecenter-co/product/239267/pintulux-1-galon-blanco-3en1-metal-y-maderas/239267/?queryId=d31e99e1-35df-4b8f-bd03-0fd803d8c702" TargetMode="External"/><Relationship Id="rId24" Type="http://schemas.openxmlformats.org/officeDocument/2006/relationships/hyperlink" Target="https://spanish.alibaba.com/p-detail/Robot-1600435812247.html?spm=a2700.galleryofferlist.normal_offer.d_title.29877a97TrJdS2&amp;s=p" TargetMode="External"/><Relationship Id="rId32" Type="http://schemas.openxmlformats.org/officeDocument/2006/relationships/hyperlink" Target="https://spanish.alibaba.com/p-detail/LIJIN-309158147.html?spm=a2700.galleryofferlist.normal_offer.d_title.2b564151cxQpLo&amp;s=p" TargetMode="External"/><Relationship Id="rId37" Type="http://schemas.openxmlformats.org/officeDocument/2006/relationships/hyperlink" Target="https://twcontrols.com/lessons/where-can-i-download-studio-5000-logix-designer-rslogix-5000-and-what-is-the-pricedifference-of-each-version" TargetMode="External"/><Relationship Id="rId40" Type="http://schemas.openxmlformats.org/officeDocument/2006/relationships/hyperlink" Target="https://articulo.mercadolibre.com.co/MCO-616463808-computador-empresarial-lenovo-thinkcentre-m920z-intel-win-10-_JM" TargetMode="External"/><Relationship Id="rId45" Type="http://schemas.openxmlformats.org/officeDocument/2006/relationships/hyperlink" Target="https://robotika.com.co/" TargetMode="External"/><Relationship Id="rId53" Type="http://schemas.openxmlformats.org/officeDocument/2006/relationships/hyperlink" Target="https://www.catalogodelempaque.com/ficha-producto/Polietileno-de-alta-densidad-para-soplado+137439" TargetMode="External"/><Relationship Id="rId58" Type="http://schemas.openxmlformats.org/officeDocument/2006/relationships/hyperlink" Target="https://www.youtube.com/watch?v=woMELHmq3UI" TargetMode="External"/><Relationship Id="rId5" Type="http://schemas.openxmlformats.org/officeDocument/2006/relationships/hyperlink" Target="https://articulo.mercadolibre.com.co/MCO-602202361-50-unidades-tuerca-remachable-10-mm-remache-roscado-m10-_JM" TargetMode="External"/><Relationship Id="rId61" Type="http://schemas.openxmlformats.org/officeDocument/2006/relationships/hyperlink" Target="https://zonafrancalacayena.com/lotes-y-bodegas-disponibles-en-barranquilla-zona-franca/" TargetMode="External"/><Relationship Id="rId19" Type="http://schemas.openxmlformats.org/officeDocument/2006/relationships/hyperlink" Target="https://spanish.alibaba.com/p-detail/Automated-1600058978064.html?spm=a2700.galleryofferlist.normal_offer.d_image.343623b4qWyMMh&amp;s=p" TargetMode="External"/><Relationship Id="rId14" Type="http://schemas.openxmlformats.org/officeDocument/2006/relationships/hyperlink" Target="https://articulo.mercadolibre.com.co/MCO-583168511-maquina-laser-doble-cabezal-co2-kl1810-180x100cm-_JM?searchVariation=173580527771" TargetMode="External"/><Relationship Id="rId22" Type="http://schemas.openxmlformats.org/officeDocument/2006/relationships/hyperlink" Target="https://spanish.alibaba.com/p-detail/high-1600405869079.html?spm=a2700.details.0.0.2b3cc930E6wNQK" TargetMode="External"/><Relationship Id="rId27" Type="http://schemas.openxmlformats.org/officeDocument/2006/relationships/hyperlink" Target="https://spanish.alibaba.com/p-detail/Riveting-62427117915.html?spm=a2700.galleryofferlist.normal_offer.d_image.5edd62a6WcFlH3&amp;s=p" TargetMode="External"/><Relationship Id="rId30" Type="http://schemas.openxmlformats.org/officeDocument/2006/relationships/hyperlink" Target="https://spanish.alibaba.com/p-detail/Hot-1600483330262.html?spm=a2700.galleryofferlist.normal_offer.d_title.4a0717ecNfFNdq&amp;s=p" TargetMode="External"/><Relationship Id="rId35" Type="http://schemas.openxmlformats.org/officeDocument/2006/relationships/hyperlink" Target="https://www.homecenter.com.co/homecenter-co/product/107851/calibrador-digital-pie-de-rey-6-pulg-ubermann/107851/?gclsrc=aw.ds&amp;&amp;kid=bnnext1031777&amp;shop=googleShopping&amp;gclid=Cj0KCQjw6pOTBhCTARIsAHF23fLBaqpHrvpq85l_2DFQV8ZK9CJtY56SzjQZ4Y7f1B_8ouoMMe8BnkMaAlroEALw_wcB" TargetMode="External"/><Relationship Id="rId43" Type="http://schemas.openxmlformats.org/officeDocument/2006/relationships/hyperlink" Target="http://polyprint-america.com/plasticos" TargetMode="External"/><Relationship Id="rId48" Type="http://schemas.openxmlformats.org/officeDocument/2006/relationships/hyperlink" Target="https://articulo.mercadolibre.com.co/MCO-615381636-pareja-de-lamina-dobladora-y-cortadorazymt-2021-_JM" TargetMode="External"/><Relationship Id="rId56" Type="http://schemas.openxmlformats.org/officeDocument/2006/relationships/hyperlink" Target="https://www.youtube.com/watch?v=0fM5j8VeC78" TargetMode="External"/><Relationship Id="rId8" Type="http://schemas.openxmlformats.org/officeDocument/2006/relationships/hyperlink" Target="https://spanish.alibaba.com/p-detail/Screws-62321189333.html?spm=a2700.galleryofferlist.normal_offer.d_title.5b0e1784a18Es4&amp;s=p" TargetMode="External"/><Relationship Id="rId51" Type="http://schemas.openxmlformats.org/officeDocument/2006/relationships/hyperlink" Target="https://es.timingcutter.com/" TargetMode="External"/><Relationship Id="rId3" Type="http://schemas.openxmlformats.org/officeDocument/2006/relationships/hyperlink" Target="https://afix.com.co/producto/afix-green-cemento-de-contacto/?utm_source=google&amp;utm_medium=cpc&amp;utm_campaign=Gulupa-Afix+b%C3%BAsqueda+diciembre&amp;gclid=Cj0KCQjw0umSBhDrARIsAH7FCofJGMhKTM_gvchiu-nNeowlMlAY-n1ukU87yDv42jnAAQDWtrhKYW4aAmJxEALw_wcB" TargetMode="External"/><Relationship Id="rId12" Type="http://schemas.openxmlformats.org/officeDocument/2006/relationships/hyperlink" Target="https://spanish.alibaba.com/p-detail/Transparent-60264183326.html?spm=a2700.galleryofferlist.normal_offer.d_title.18ee3947aiuHfZ" TargetMode="External"/><Relationship Id="rId17" Type="http://schemas.openxmlformats.org/officeDocument/2006/relationships/hyperlink" Target="https://es.aliexpress.com/item/1005003430246546.html?spm=a2g0o.productlist.0.0.447b247dUVH8gA&amp;algo_pvid=c8e825e0-98c3-41c2-9cc2-df64c16003c8&amp;algo_exp_id=c8e825e0-98c3-41c2-9cc2-df64c16003c8-6&amp;pdp_ext_f=%7B%22sku_id%22%3A%2212000025750909670%22%7D&amp;pdp_npi=1%40dis%7CCOP%7C%7C5234553.3%7C%7C%7C%7C%7C%402101e9d416514608110748079eb8ed%7C12000025750909670%7Csea" TargetMode="External"/><Relationship Id="rId25" Type="http://schemas.openxmlformats.org/officeDocument/2006/relationships/hyperlink" Target="https://www.youtube.com/watch?v=YMBFJXjMiL4&amp;ab_channel=punk9891215" TargetMode="External"/><Relationship Id="rId33" Type="http://schemas.openxmlformats.org/officeDocument/2006/relationships/hyperlink" Target="https://spanish.alibaba.com/p-detail/automatic-1600432928303.html?spm=a2700.galleryofferlist.normal_offer.d_title.1576454bMD0dt7" TargetMode="External"/><Relationship Id="rId38" Type="http://schemas.openxmlformats.org/officeDocument/2006/relationships/hyperlink" Target="https://all3dp.com/1/best-cad-software/" TargetMode="External"/><Relationship Id="rId46" Type="http://schemas.openxmlformats.org/officeDocument/2006/relationships/hyperlink" Target="http://www.le-robotics.com/" TargetMode="External"/><Relationship Id="rId59" Type="http://schemas.openxmlformats.org/officeDocument/2006/relationships/hyperlink" Target="https://www.plchardware.com/Products/RA-1769-L33ER.aspx" TargetMode="External"/><Relationship Id="rId20" Type="http://schemas.openxmlformats.org/officeDocument/2006/relationships/hyperlink" Target="https://spanish.alibaba.com/p-detail/high-1600442820871.html?spm=a2700.galleryofferlist.normal_offer.d_image.5a34bb33EmjKbJ&amp;s=p" TargetMode="External"/><Relationship Id="rId41" Type="http://schemas.openxmlformats.org/officeDocument/2006/relationships/hyperlink" Target="https://imocom.com.co/plastico/contacto/" TargetMode="External"/><Relationship Id="rId54" Type="http://schemas.openxmlformats.org/officeDocument/2006/relationships/hyperlink" Target="https://www.solostocks.com.co/venta-productos/termoplasticos-materiales-plasticos/hdpe-polietileno-alta-densidad" TargetMode="External"/><Relationship Id="rId62" Type="http://schemas.openxmlformats.org/officeDocument/2006/relationships/printerSettings" Target="../printerSettings/printerSettings1.bin"/><Relationship Id="rId1" Type="http://schemas.openxmlformats.org/officeDocument/2006/relationships/hyperlink" Target="https://spanish.alibaba.com/p-detail/High-1600428898193.html?spm=a2700.7724857.normal_offer.d_title.713943a2ZnV5Pq&amp;s=p" TargetMode="External"/><Relationship Id="rId6" Type="http://schemas.openxmlformats.org/officeDocument/2006/relationships/hyperlink" Target="https://www.tiendascalypso.com/extra-espuma-ros-d26-ancho-1-0-m-x-largo-2-0-m/p" TargetMode="External"/><Relationship Id="rId15" Type="http://schemas.openxmlformats.org/officeDocument/2006/relationships/hyperlink" Target="https://www.alibaba.com/product-detail/Selling-Best-High-Quality-X-Y_62135522719.html?spm=a2700.galleryofferlist.normal_offer.d_image.3062513azTXoa1" TargetMode="External"/><Relationship Id="rId23" Type="http://schemas.openxmlformats.org/officeDocument/2006/relationships/hyperlink" Target="https://articulo.mercadolibre.com.co/MCO-614788259-dobladora-hidraulica-_JM" TargetMode="External"/><Relationship Id="rId28" Type="http://schemas.openxmlformats.org/officeDocument/2006/relationships/hyperlink" Target="https://spanish.alibaba.com/p-detail/Automatic-1600289386580.html?spm=a2700.details.0.0.b0d74d3d8HyBEs" TargetMode="External"/><Relationship Id="rId36" Type="http://schemas.openxmlformats.org/officeDocument/2006/relationships/hyperlink" Target="https://www.bls.gov/ooh/installation-maintenance-and-repair/industrial-machinery-mechanics-and-maintenance-workers-and-millwrights.htm?view_full" TargetMode="External"/><Relationship Id="rId49" Type="http://schemas.openxmlformats.org/officeDocument/2006/relationships/hyperlink" Target="https://www.madingenieros.com/cortadora-de-tela-multicapa.html" TargetMode="External"/><Relationship Id="rId57" Type="http://schemas.openxmlformats.org/officeDocument/2006/relationships/hyperlink" Target="https://venmir.com/bandas-transportadoras-de-rodillos/" TargetMode="External"/><Relationship Id="rId10" Type="http://schemas.openxmlformats.org/officeDocument/2006/relationships/hyperlink" Target="https://www.homecenter.com.co/homecenter-co/product/24435/tubo-cuadrado-3-4-x-3-4pg-x-08mm-c20-x-6m/24435/?queryId=e66c81cf-fb04-4dec-b279-18795609795d" TargetMode="External"/><Relationship Id="rId31" Type="http://schemas.openxmlformats.org/officeDocument/2006/relationships/hyperlink" Target="https://spanish.alibaba.com/p-detail/Foshan-60687945098.html?spm=a2700.galleryofferlist.normal_offer.d_title.3cf97289M6R6Hx" TargetMode="External"/><Relationship Id="rId44" Type="http://schemas.openxmlformats.org/officeDocument/2006/relationships/hyperlink" Target="https://www.metalmecanica.com/" TargetMode="External"/><Relationship Id="rId52" Type="http://schemas.openxmlformats.org/officeDocument/2006/relationships/hyperlink" Target="https://spanish.alibaba.com/p-detail/High-1600427882383.html?spm=a2700.7724857.normal_offer.d_title.3c2773cbsgAXwy&amp;s=p" TargetMode="External"/><Relationship Id="rId60" Type="http://schemas.openxmlformats.org/officeDocument/2006/relationships/hyperlink" Target="https://www.plchardware.com/Products/85/5398859/RA-05150-11173.aspx" TargetMode="External"/><Relationship Id="rId4" Type="http://schemas.openxmlformats.org/officeDocument/2006/relationships/hyperlink" Target="https://www.homecenter.com.co/homecenter-co/product/295601/tablero-mdf-30mm-de-122x2-44-mts-okume-1-cara/295601/?queryId=6f0a2c04-79f7-4fa7-a825-d9cbce39208f" TargetMode="External"/><Relationship Id="rId9" Type="http://schemas.openxmlformats.org/officeDocument/2006/relationships/hyperlink" Target="https://tienda.fajobe.com.co/producto/lamina-hr-a36-2-5-mm-4x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85"/>
  <sheetViews>
    <sheetView topLeftCell="A10" workbookViewId="0">
      <selection activeCell="G27" sqref="G26:G27"/>
    </sheetView>
  </sheetViews>
  <sheetFormatPr baseColWidth="10" defaultColWidth="12.5703125" defaultRowHeight="15.75" customHeight="1" x14ac:dyDescent="0.2"/>
  <cols>
    <col min="1" max="1" width="9" customWidth="1"/>
    <col min="2" max="2" width="38.5703125" customWidth="1"/>
    <col min="3" max="3" width="23.5703125" customWidth="1"/>
    <col min="4" max="4" width="22.7109375" customWidth="1"/>
    <col min="5" max="5" width="65.140625" customWidth="1"/>
    <col min="6" max="6" width="17.7109375" customWidth="1"/>
    <col min="7" max="7" width="16.42578125" customWidth="1"/>
  </cols>
  <sheetData>
    <row r="1" spans="1:32" x14ac:dyDescent="0.25">
      <c r="A1" s="61"/>
      <c r="B1" s="1" t="s">
        <v>0</v>
      </c>
      <c r="D1" s="1" t="s">
        <v>1</v>
      </c>
      <c r="F1" s="2" t="s">
        <v>2</v>
      </c>
    </row>
    <row r="2" spans="1:32" ht="12.75" x14ac:dyDescent="0.2">
      <c r="B2" s="3" t="s">
        <v>3</v>
      </c>
      <c r="D2" s="62">
        <f>G34+G44+G48+G59+G65+G74+G80+G85+G133</f>
        <v>892916478.75</v>
      </c>
      <c r="F2" s="64">
        <v>3729</v>
      </c>
      <c r="AB2" s="5"/>
      <c r="AC2" s="5"/>
      <c r="AD2" s="5"/>
      <c r="AE2" s="5"/>
      <c r="AF2" s="5"/>
    </row>
    <row r="3" spans="1:32" ht="12.75" x14ac:dyDescent="0.2">
      <c r="B3" s="3" t="s">
        <v>4</v>
      </c>
    </row>
    <row r="4" spans="1:32" x14ac:dyDescent="0.25">
      <c r="B4" s="3" t="s">
        <v>5</v>
      </c>
      <c r="D4" s="6"/>
    </row>
    <row r="5" spans="1:32" ht="12.75" x14ac:dyDescent="0.2">
      <c r="B5" s="3" t="s">
        <v>6</v>
      </c>
      <c r="C5" s="5"/>
    </row>
    <row r="6" spans="1:32" ht="12.75" x14ac:dyDescent="0.2">
      <c r="B6" s="3" t="s">
        <v>7</v>
      </c>
      <c r="C6" s="5"/>
    </row>
    <row r="7" spans="1:32" x14ac:dyDescent="0.25">
      <c r="B7" s="3" t="s">
        <v>8</v>
      </c>
      <c r="C7" s="5"/>
      <c r="D7" s="6"/>
    </row>
    <row r="8" spans="1:32" ht="12.75" x14ac:dyDescent="0.2">
      <c r="B8" s="3" t="s">
        <v>9</v>
      </c>
      <c r="C8" s="5"/>
    </row>
    <row r="9" spans="1:32" ht="12.75" x14ac:dyDescent="0.2">
      <c r="B9" s="3" t="s">
        <v>10</v>
      </c>
      <c r="C9" s="5"/>
    </row>
    <row r="10" spans="1:32" ht="12.75" x14ac:dyDescent="0.2">
      <c r="B10" s="3" t="s">
        <v>11</v>
      </c>
      <c r="C10" s="5"/>
    </row>
    <row r="11" spans="1:32" ht="12.75" x14ac:dyDescent="0.2">
      <c r="B11" s="5"/>
      <c r="C11" s="5"/>
    </row>
    <row r="12" spans="1:32" ht="13.5" x14ac:dyDescent="0.25">
      <c r="A12" s="57" t="s">
        <v>12</v>
      </c>
      <c r="B12" s="54"/>
      <c r="C12" s="54"/>
      <c r="D12" s="54"/>
      <c r="E12" s="54"/>
      <c r="F12" s="54"/>
      <c r="G12" s="54"/>
      <c r="H12" s="55"/>
    </row>
    <row r="13" spans="1:32" ht="12.75" x14ac:dyDescent="0.2">
      <c r="A13" s="7" t="s">
        <v>13</v>
      </c>
      <c r="B13" s="7" t="s">
        <v>14</v>
      </c>
      <c r="C13" s="7" t="s">
        <v>15</v>
      </c>
      <c r="D13" s="7" t="s">
        <v>16</v>
      </c>
      <c r="E13" s="7" t="s">
        <v>17</v>
      </c>
      <c r="F13" s="7" t="s">
        <v>18</v>
      </c>
      <c r="G13" s="7" t="s">
        <v>19</v>
      </c>
      <c r="H13" s="7" t="s">
        <v>20</v>
      </c>
    </row>
    <row r="14" spans="1:32" ht="12.75" x14ac:dyDescent="0.2">
      <c r="A14" s="8" t="s">
        <v>21</v>
      </c>
      <c r="B14" s="3" t="s">
        <v>22</v>
      </c>
      <c r="C14" s="62">
        <v>4434185.26</v>
      </c>
      <c r="D14" s="5" t="s">
        <v>23</v>
      </c>
      <c r="E14" s="3" t="s">
        <v>24</v>
      </c>
      <c r="F14" s="62">
        <f>0.009*C14</f>
        <v>39907.667339999993</v>
      </c>
      <c r="G14" s="62">
        <f>F14+F14*6%+F14*19%</f>
        <v>49884.584174999996</v>
      </c>
      <c r="H14" s="9" t="s">
        <v>25</v>
      </c>
    </row>
    <row r="15" spans="1:32" ht="12.75" x14ac:dyDescent="0.2">
      <c r="A15" s="58" t="s">
        <v>26</v>
      </c>
      <c r="B15" s="3" t="s">
        <v>27</v>
      </c>
      <c r="C15" s="62">
        <v>11000</v>
      </c>
      <c r="D15" s="3" t="s">
        <v>28</v>
      </c>
      <c r="E15" s="3" t="s">
        <v>29</v>
      </c>
      <c r="F15" s="63">
        <f>C15/6</f>
        <v>1833.3333333333333</v>
      </c>
      <c r="G15" s="63">
        <f t="shared" ref="G15:G25" si="0">F15</f>
        <v>1833.3333333333333</v>
      </c>
      <c r="H15" s="9" t="s">
        <v>30</v>
      </c>
    </row>
    <row r="16" spans="1:32" ht="12.75" x14ac:dyDescent="0.2">
      <c r="A16" s="49"/>
      <c r="B16" s="3" t="s">
        <v>31</v>
      </c>
      <c r="C16" s="62">
        <v>25869</v>
      </c>
      <c r="D16" s="3" t="s">
        <v>32</v>
      </c>
      <c r="E16" s="3" t="s">
        <v>33</v>
      </c>
      <c r="F16" s="63">
        <f>C16/20</f>
        <v>1293.45</v>
      </c>
      <c r="G16" s="63">
        <f t="shared" si="0"/>
        <v>1293.45</v>
      </c>
      <c r="H16" s="11" t="s">
        <v>34</v>
      </c>
    </row>
    <row r="17" spans="1:8" ht="12.75" x14ac:dyDescent="0.2">
      <c r="A17" s="49"/>
      <c r="B17" s="3" t="s">
        <v>35</v>
      </c>
      <c r="C17" s="62">
        <v>46900</v>
      </c>
      <c r="D17" s="3" t="s">
        <v>36</v>
      </c>
      <c r="E17" s="3" t="s">
        <v>37</v>
      </c>
      <c r="F17" s="63">
        <f>C17/24</f>
        <v>1954.1666666666667</v>
      </c>
      <c r="G17" s="63">
        <f t="shared" si="0"/>
        <v>1954.1666666666667</v>
      </c>
      <c r="H17" s="11" t="s">
        <v>38</v>
      </c>
    </row>
    <row r="18" spans="1:8" ht="12.75" x14ac:dyDescent="0.2">
      <c r="A18" s="49"/>
      <c r="B18" s="3" t="s">
        <v>39</v>
      </c>
      <c r="C18" s="62">
        <v>18700</v>
      </c>
      <c r="D18" s="3" t="s">
        <v>40</v>
      </c>
      <c r="E18" s="3" t="s">
        <v>41</v>
      </c>
      <c r="F18" s="63">
        <f>C18/15</f>
        <v>1246.6666666666667</v>
      </c>
      <c r="G18" s="63">
        <f t="shared" si="0"/>
        <v>1246.6666666666667</v>
      </c>
      <c r="H18" s="11" t="s">
        <v>42</v>
      </c>
    </row>
    <row r="19" spans="1:8" ht="12.75" x14ac:dyDescent="0.2">
      <c r="A19" s="50"/>
      <c r="B19" s="3" t="s">
        <v>43</v>
      </c>
      <c r="C19" s="62">
        <v>50520</v>
      </c>
      <c r="D19" s="3">
        <v>50</v>
      </c>
      <c r="E19" s="3" t="s">
        <v>44</v>
      </c>
      <c r="F19" s="63">
        <f>(C19/D19)*4</f>
        <v>4041.6</v>
      </c>
      <c r="G19" s="63">
        <f t="shared" si="0"/>
        <v>4041.6</v>
      </c>
      <c r="H19" s="12" t="s">
        <v>45</v>
      </c>
    </row>
    <row r="20" spans="1:8" ht="12.75" x14ac:dyDescent="0.2">
      <c r="A20" s="58" t="s">
        <v>46</v>
      </c>
      <c r="B20" s="3" t="s">
        <v>47</v>
      </c>
      <c r="C20" s="62">
        <v>372.93</v>
      </c>
      <c r="D20" s="3">
        <v>1</v>
      </c>
      <c r="E20" s="3" t="s">
        <v>48</v>
      </c>
      <c r="F20" s="63">
        <f t="shared" ref="F20:F21" si="1">C20*4</f>
        <v>1491.72</v>
      </c>
      <c r="G20" s="63">
        <f t="shared" si="0"/>
        <v>1491.72</v>
      </c>
      <c r="H20" s="9" t="s">
        <v>49</v>
      </c>
    </row>
    <row r="21" spans="1:8" ht="12.75" x14ac:dyDescent="0.2">
      <c r="A21" s="49"/>
      <c r="B21" s="3" t="s">
        <v>50</v>
      </c>
      <c r="C21" s="62">
        <v>186.47</v>
      </c>
      <c r="D21" s="3">
        <v>1</v>
      </c>
      <c r="E21" s="3" t="s">
        <v>51</v>
      </c>
      <c r="F21" s="63">
        <f t="shared" si="1"/>
        <v>745.88</v>
      </c>
      <c r="G21" s="63">
        <f t="shared" si="0"/>
        <v>745.88</v>
      </c>
      <c r="H21" s="9" t="s">
        <v>52</v>
      </c>
    </row>
    <row r="22" spans="1:8" ht="12.75" x14ac:dyDescent="0.2">
      <c r="A22" s="49"/>
      <c r="B22" s="3" t="s">
        <v>53</v>
      </c>
      <c r="C22" s="62">
        <v>436500</v>
      </c>
      <c r="D22" s="3" t="s">
        <v>54</v>
      </c>
      <c r="E22" s="3" t="s">
        <v>55</v>
      </c>
      <c r="F22" s="63">
        <f>C22/12</f>
        <v>36375</v>
      </c>
      <c r="G22" s="63">
        <f t="shared" si="0"/>
        <v>36375</v>
      </c>
      <c r="H22" s="9" t="s">
        <v>56</v>
      </c>
    </row>
    <row r="23" spans="1:8" ht="12.75" x14ac:dyDescent="0.2">
      <c r="A23" s="49"/>
      <c r="B23" s="3" t="s">
        <v>57</v>
      </c>
      <c r="C23" s="62">
        <v>26950</v>
      </c>
      <c r="D23" s="3" t="s">
        <v>58</v>
      </c>
      <c r="E23" s="3" t="s">
        <v>59</v>
      </c>
      <c r="F23" s="63">
        <f>C23/3</f>
        <v>8983.3333333333339</v>
      </c>
      <c r="G23" s="63">
        <f t="shared" si="0"/>
        <v>8983.3333333333339</v>
      </c>
      <c r="H23" s="9" t="s">
        <v>60</v>
      </c>
    </row>
    <row r="24" spans="1:8" ht="12.75" x14ac:dyDescent="0.2">
      <c r="A24" s="50"/>
      <c r="B24" s="3" t="s">
        <v>61</v>
      </c>
      <c r="C24" s="62">
        <v>82900</v>
      </c>
      <c r="D24" s="3" t="s">
        <v>62</v>
      </c>
      <c r="E24" s="3" t="s">
        <v>63</v>
      </c>
      <c r="F24" s="63">
        <f>C24/30</f>
        <v>2763.3333333333335</v>
      </c>
      <c r="G24" s="63">
        <f t="shared" si="0"/>
        <v>2763.3333333333335</v>
      </c>
      <c r="H24" s="11" t="s">
        <v>64</v>
      </c>
    </row>
    <row r="25" spans="1:8" ht="12.75" x14ac:dyDescent="0.2">
      <c r="A25" s="3" t="s">
        <v>65</v>
      </c>
      <c r="B25" s="3" t="s">
        <v>66</v>
      </c>
      <c r="C25" s="62">
        <v>93233</v>
      </c>
      <c r="D25" s="3" t="s">
        <v>67</v>
      </c>
      <c r="E25" s="3" t="s">
        <v>68</v>
      </c>
      <c r="F25" s="63">
        <f>C25/25</f>
        <v>3729.32</v>
      </c>
      <c r="G25" s="63">
        <f t="shared" si="0"/>
        <v>3729.32</v>
      </c>
      <c r="H25" s="9" t="s">
        <v>69</v>
      </c>
    </row>
    <row r="26" spans="1:8" ht="12.75" x14ac:dyDescent="0.2">
      <c r="F26" s="13" t="s">
        <v>70</v>
      </c>
      <c r="G26" s="70">
        <f>SUM(G14:G25)</f>
        <v>114342.38750833331</v>
      </c>
    </row>
    <row r="27" spans="1:8" ht="12.75" x14ac:dyDescent="0.2">
      <c r="F27" s="13" t="s">
        <v>71</v>
      </c>
      <c r="G27" s="70">
        <f>G14+G20+G21+G22+G23+G24+G25</f>
        <v>103973.17084166667</v>
      </c>
    </row>
    <row r="28" spans="1:8" ht="12.75" x14ac:dyDescent="0.2">
      <c r="B28" s="5"/>
      <c r="C28" s="5"/>
    </row>
    <row r="29" spans="1:8" x14ac:dyDescent="0.25">
      <c r="A29" s="53" t="s">
        <v>72</v>
      </c>
      <c r="B29" s="54"/>
      <c r="C29" s="54"/>
      <c r="D29" s="54"/>
      <c r="E29" s="54"/>
      <c r="F29" s="54"/>
      <c r="G29" s="54"/>
      <c r="H29" s="55"/>
    </row>
    <row r="30" spans="1:8" ht="12.75" x14ac:dyDescent="0.2">
      <c r="A30" s="7" t="s">
        <v>13</v>
      </c>
      <c r="B30" s="7" t="s">
        <v>14</v>
      </c>
      <c r="C30" s="7" t="s">
        <v>73</v>
      </c>
      <c r="D30" s="7" t="s">
        <v>15</v>
      </c>
      <c r="E30" s="7" t="s">
        <v>17</v>
      </c>
      <c r="F30" s="7" t="s">
        <v>74</v>
      </c>
      <c r="G30" s="7" t="s">
        <v>19</v>
      </c>
      <c r="H30" s="7" t="s">
        <v>20</v>
      </c>
    </row>
    <row r="31" spans="1:8" ht="12.75" x14ac:dyDescent="0.2">
      <c r="A31" s="48">
        <v>1</v>
      </c>
      <c r="B31" s="3" t="s">
        <v>75</v>
      </c>
      <c r="C31" s="3">
        <v>1</v>
      </c>
      <c r="D31" s="62">
        <v>46616750</v>
      </c>
      <c r="E31" s="3" t="s">
        <v>76</v>
      </c>
      <c r="F31" s="63">
        <f t="shared" ref="F31:F33" si="2">D31*C31</f>
        <v>46616750</v>
      </c>
      <c r="G31" s="63">
        <f t="shared" ref="G31:G32" si="3">F31+F31*6%+F31*19%</f>
        <v>58270937.5</v>
      </c>
      <c r="H31" s="9" t="s">
        <v>77</v>
      </c>
    </row>
    <row r="32" spans="1:8" ht="12.75" x14ac:dyDescent="0.2">
      <c r="A32" s="49"/>
      <c r="B32" s="3" t="s">
        <v>78</v>
      </c>
      <c r="C32" s="3">
        <v>1</v>
      </c>
      <c r="D32" s="62">
        <v>39371430</v>
      </c>
      <c r="E32" s="3" t="s">
        <v>79</v>
      </c>
      <c r="F32" s="63">
        <f t="shared" si="2"/>
        <v>39371430</v>
      </c>
      <c r="G32" s="63">
        <f t="shared" si="3"/>
        <v>49214287.5</v>
      </c>
      <c r="H32" s="14" t="s">
        <v>79</v>
      </c>
    </row>
    <row r="33" spans="1:8" ht="12.75" x14ac:dyDescent="0.2">
      <c r="A33" s="50"/>
      <c r="B33" s="3" t="s">
        <v>80</v>
      </c>
      <c r="C33" s="3">
        <v>1</v>
      </c>
      <c r="D33" s="62">
        <v>33800000</v>
      </c>
      <c r="E33" s="3" t="s">
        <v>81</v>
      </c>
      <c r="F33" s="63">
        <f t="shared" si="2"/>
        <v>33800000</v>
      </c>
      <c r="G33" s="62">
        <f>F33</f>
        <v>33800000</v>
      </c>
      <c r="H33" s="9" t="s">
        <v>82</v>
      </c>
    </row>
    <row r="34" spans="1:8" x14ac:dyDescent="0.25">
      <c r="F34" s="15" t="s">
        <v>83</v>
      </c>
      <c r="G34" s="70">
        <f>SUM(G31:G33)</f>
        <v>141285225</v>
      </c>
    </row>
    <row r="35" spans="1:8" x14ac:dyDescent="0.25">
      <c r="F35" s="15"/>
    </row>
    <row r="36" spans="1:8" x14ac:dyDescent="0.25">
      <c r="A36" s="53" t="s">
        <v>84</v>
      </c>
      <c r="B36" s="54"/>
      <c r="C36" s="54"/>
      <c r="D36" s="54"/>
      <c r="E36" s="54"/>
      <c r="F36" s="54"/>
      <c r="G36" s="54"/>
      <c r="H36" s="55"/>
    </row>
    <row r="37" spans="1:8" ht="12.75" x14ac:dyDescent="0.2">
      <c r="A37" s="7" t="s">
        <v>13</v>
      </c>
      <c r="B37" s="7" t="s">
        <v>14</v>
      </c>
      <c r="C37" s="7" t="s">
        <v>73</v>
      </c>
      <c r="D37" s="7" t="s">
        <v>15</v>
      </c>
      <c r="E37" s="7" t="s">
        <v>17</v>
      </c>
      <c r="F37" s="7" t="s">
        <v>74</v>
      </c>
      <c r="G37" s="7" t="s">
        <v>19</v>
      </c>
      <c r="H37" s="7" t="s">
        <v>20</v>
      </c>
    </row>
    <row r="38" spans="1:8" ht="12.75" x14ac:dyDescent="0.2">
      <c r="A38" s="3">
        <v>1</v>
      </c>
      <c r="B38" s="3" t="s">
        <v>85</v>
      </c>
      <c r="C38" s="3">
        <v>1</v>
      </c>
      <c r="D38" s="63">
        <f>5000*F2</f>
        <v>18645000</v>
      </c>
      <c r="E38" s="14" t="s">
        <v>86</v>
      </c>
      <c r="F38" s="69">
        <f t="shared" ref="F38:F39" si="4">D38*C38</f>
        <v>18645000</v>
      </c>
      <c r="G38" s="63">
        <f t="shared" ref="G38:G41" si="5">F38+F38*6%+F38*19%</f>
        <v>23306250</v>
      </c>
      <c r="H38" s="9" t="s">
        <v>87</v>
      </c>
    </row>
    <row r="39" spans="1:8" ht="17.25" customHeight="1" x14ac:dyDescent="0.2">
      <c r="A39" s="3">
        <v>1</v>
      </c>
      <c r="B39" s="3" t="s">
        <v>88</v>
      </c>
      <c r="C39" s="3">
        <v>1</v>
      </c>
      <c r="D39" s="63">
        <f>1206*F2</f>
        <v>4497174</v>
      </c>
      <c r="E39" s="16" t="s">
        <v>89</v>
      </c>
      <c r="F39" s="69">
        <f t="shared" si="4"/>
        <v>4497174</v>
      </c>
      <c r="G39" s="63">
        <f t="shared" si="5"/>
        <v>5621467.5</v>
      </c>
      <c r="H39" s="9" t="s">
        <v>90</v>
      </c>
    </row>
    <row r="40" spans="1:8" ht="12.75" x14ac:dyDescent="0.2">
      <c r="A40" s="3">
        <v>3</v>
      </c>
      <c r="B40" s="3" t="s">
        <v>91</v>
      </c>
      <c r="C40" s="3">
        <v>1</v>
      </c>
      <c r="D40" s="62">
        <v>3461942</v>
      </c>
      <c r="E40" s="17" t="s">
        <v>92</v>
      </c>
      <c r="F40" s="69">
        <v>5234553</v>
      </c>
      <c r="G40" s="63">
        <f t="shared" si="5"/>
        <v>6543191.25</v>
      </c>
      <c r="H40" s="12" t="s">
        <v>93</v>
      </c>
    </row>
    <row r="41" spans="1:8" ht="12.75" x14ac:dyDescent="0.2">
      <c r="A41" s="3">
        <v>4</v>
      </c>
      <c r="B41" s="3" t="s">
        <v>91</v>
      </c>
      <c r="C41" s="3">
        <v>1</v>
      </c>
      <c r="D41" s="62">
        <v>26432861</v>
      </c>
      <c r="E41" s="18" t="s">
        <v>94</v>
      </c>
      <c r="F41" s="69">
        <f>D41*C41</f>
        <v>26432861</v>
      </c>
      <c r="G41" s="63">
        <f t="shared" si="5"/>
        <v>33041076.25</v>
      </c>
      <c r="H41" s="12" t="s">
        <v>95</v>
      </c>
    </row>
    <row r="44" spans="1:8" x14ac:dyDescent="0.25">
      <c r="A44" s="19"/>
      <c r="B44" s="19"/>
      <c r="C44" s="19"/>
      <c r="D44" s="19"/>
      <c r="E44" s="19"/>
      <c r="F44" s="15" t="s">
        <v>83</v>
      </c>
      <c r="G44" s="68">
        <f>SUM(G40:G41)</f>
        <v>39584267.5</v>
      </c>
      <c r="H44" s="19"/>
    </row>
    <row r="45" spans="1:8" x14ac:dyDescent="0.25">
      <c r="A45" s="19"/>
      <c r="B45" s="19"/>
      <c r="C45" s="19"/>
      <c r="D45" s="19"/>
      <c r="E45" s="19"/>
      <c r="F45" s="19"/>
      <c r="G45" s="19"/>
      <c r="H45" s="19"/>
    </row>
    <row r="46" spans="1:8" x14ac:dyDescent="0.25">
      <c r="A46" s="53" t="s">
        <v>96</v>
      </c>
      <c r="B46" s="54"/>
      <c r="C46" s="54"/>
      <c r="D46" s="54"/>
      <c r="E46" s="54"/>
      <c r="F46" s="54"/>
      <c r="G46" s="54"/>
      <c r="H46" s="55"/>
    </row>
    <row r="47" spans="1:8" ht="12.75" x14ac:dyDescent="0.2">
      <c r="A47" s="7" t="s">
        <v>13</v>
      </c>
      <c r="B47" s="7" t="s">
        <v>14</v>
      </c>
      <c r="C47" s="7" t="s">
        <v>73</v>
      </c>
      <c r="D47" s="7" t="s">
        <v>15</v>
      </c>
      <c r="E47" s="7" t="s">
        <v>17</v>
      </c>
      <c r="F47" s="7" t="s">
        <v>74</v>
      </c>
      <c r="G47" s="7" t="s">
        <v>19</v>
      </c>
      <c r="H47" s="7" t="s">
        <v>20</v>
      </c>
    </row>
    <row r="48" spans="1:8" x14ac:dyDescent="0.25">
      <c r="A48" s="5">
        <v>1</v>
      </c>
      <c r="B48" s="3" t="s">
        <v>97</v>
      </c>
      <c r="C48" s="3">
        <v>1</v>
      </c>
      <c r="D48" s="62">
        <f>10000*F2</f>
        <v>37290000</v>
      </c>
      <c r="E48" s="14" t="s">
        <v>98</v>
      </c>
      <c r="F48" s="63">
        <f>D48*C48</f>
        <v>37290000</v>
      </c>
      <c r="G48" s="63">
        <f>F48+F48*6%+F48*19%</f>
        <v>46612500</v>
      </c>
      <c r="H48" s="20" t="s">
        <v>98</v>
      </c>
    </row>
    <row r="49" spans="1:9" x14ac:dyDescent="0.25">
      <c r="F49" s="15" t="s">
        <v>83</v>
      </c>
      <c r="G49" s="66">
        <f>G48</f>
        <v>46612500</v>
      </c>
    </row>
    <row r="51" spans="1:9" x14ac:dyDescent="0.25">
      <c r="A51" s="53" t="s">
        <v>46</v>
      </c>
      <c r="B51" s="54"/>
      <c r="C51" s="54"/>
      <c r="D51" s="54"/>
      <c r="E51" s="54"/>
      <c r="F51" s="54"/>
      <c r="G51" s="54"/>
      <c r="H51" s="55"/>
    </row>
    <row r="52" spans="1:9" ht="12.75" x14ac:dyDescent="0.2">
      <c r="A52" s="7" t="s">
        <v>13</v>
      </c>
      <c r="B52" s="7" t="s">
        <v>14</v>
      </c>
      <c r="C52" s="7" t="s">
        <v>73</v>
      </c>
      <c r="D52" s="7" t="s">
        <v>15</v>
      </c>
      <c r="E52" s="7" t="s">
        <v>17</v>
      </c>
      <c r="F52" s="7" t="s">
        <v>74</v>
      </c>
      <c r="G52" s="7" t="s">
        <v>19</v>
      </c>
      <c r="H52" s="7" t="s">
        <v>20</v>
      </c>
    </row>
    <row r="53" spans="1:9" ht="12.75" x14ac:dyDescent="0.2">
      <c r="A53" s="51">
        <v>1</v>
      </c>
      <c r="B53" s="3" t="s">
        <v>99</v>
      </c>
      <c r="C53" s="3">
        <v>1</v>
      </c>
      <c r="D53" s="62">
        <v>1118802</v>
      </c>
      <c r="E53" s="3" t="s">
        <v>100</v>
      </c>
      <c r="F53" s="63">
        <f t="shared" ref="F53:F56" si="6">C53*D53</f>
        <v>1118802</v>
      </c>
      <c r="G53" s="63">
        <f t="shared" ref="G53:G55" si="7">F53+F53*6%+F53*19%</f>
        <v>1398502.5</v>
      </c>
      <c r="H53" s="9" t="s">
        <v>101</v>
      </c>
    </row>
    <row r="54" spans="1:9" ht="12.75" x14ac:dyDescent="0.2">
      <c r="A54" s="50"/>
      <c r="B54" s="3" t="s">
        <v>102</v>
      </c>
      <c r="C54" s="3">
        <v>1</v>
      </c>
      <c r="D54" s="62">
        <f>15000*F2</f>
        <v>55935000</v>
      </c>
      <c r="E54" s="3" t="s">
        <v>103</v>
      </c>
      <c r="F54" s="63">
        <f t="shared" si="6"/>
        <v>55935000</v>
      </c>
      <c r="G54" s="63">
        <f t="shared" si="7"/>
        <v>69918750</v>
      </c>
      <c r="H54" s="11" t="s">
        <v>104</v>
      </c>
    </row>
    <row r="55" spans="1:9" ht="12.75" x14ac:dyDescent="0.2">
      <c r="A55" s="51">
        <v>2</v>
      </c>
      <c r="B55" s="3" t="s">
        <v>105</v>
      </c>
      <c r="C55" s="3">
        <v>1</v>
      </c>
      <c r="D55" s="62">
        <v>55940100</v>
      </c>
      <c r="E55" s="3" t="s">
        <v>106</v>
      </c>
      <c r="F55" s="63">
        <f t="shared" si="6"/>
        <v>55940100</v>
      </c>
      <c r="G55" s="63">
        <f t="shared" si="7"/>
        <v>69925125</v>
      </c>
      <c r="H55" s="9" t="s">
        <v>107</v>
      </c>
    </row>
    <row r="56" spans="1:9" ht="12.75" x14ac:dyDescent="0.2">
      <c r="A56" s="49"/>
      <c r="B56" s="3" t="s">
        <v>108</v>
      </c>
      <c r="C56" s="3">
        <v>1</v>
      </c>
      <c r="D56" s="62">
        <v>78000000</v>
      </c>
      <c r="E56" s="3" t="s">
        <v>109</v>
      </c>
      <c r="F56" s="63">
        <f t="shared" si="6"/>
        <v>78000000</v>
      </c>
      <c r="G56" s="62">
        <f t="shared" ref="G56:G57" si="8">F56</f>
        <v>78000000</v>
      </c>
      <c r="H56" s="12" t="s">
        <v>110</v>
      </c>
    </row>
    <row r="57" spans="1:9" ht="12.75" x14ac:dyDescent="0.2">
      <c r="A57" s="50"/>
      <c r="B57" s="3" t="s">
        <v>111</v>
      </c>
      <c r="C57" s="3">
        <v>1</v>
      </c>
      <c r="D57" s="62">
        <v>30000000</v>
      </c>
      <c r="E57" s="3" t="s">
        <v>112</v>
      </c>
      <c r="F57" s="63">
        <f>D57</f>
        <v>30000000</v>
      </c>
      <c r="G57" s="62">
        <f t="shared" si="8"/>
        <v>30000000</v>
      </c>
      <c r="H57" s="3"/>
    </row>
    <row r="58" spans="1:9" ht="12.75" x14ac:dyDescent="0.2">
      <c r="A58" s="21">
        <v>3</v>
      </c>
      <c r="B58" s="3" t="s">
        <v>113</v>
      </c>
      <c r="C58" s="3">
        <v>1</v>
      </c>
      <c r="D58" s="62">
        <v>65263450</v>
      </c>
      <c r="E58" s="3" t="s">
        <v>114</v>
      </c>
      <c r="F58" s="63">
        <f>C58*D58</f>
        <v>65263450</v>
      </c>
      <c r="G58" s="63">
        <f>F58+F58*6%+F58*19%</f>
        <v>81579312.5</v>
      </c>
      <c r="H58" s="9" t="s">
        <v>115</v>
      </c>
      <c r="I58" s="11" t="s">
        <v>116</v>
      </c>
    </row>
    <row r="59" spans="1:9" x14ac:dyDescent="0.25">
      <c r="A59" s="22"/>
      <c r="B59" s="5"/>
      <c r="F59" s="15" t="s">
        <v>83</v>
      </c>
      <c r="G59" s="63">
        <f>SUM(G53:G58)</f>
        <v>330821690</v>
      </c>
    </row>
    <row r="60" spans="1:9" ht="12.75" x14ac:dyDescent="0.2">
      <c r="A60" s="22"/>
      <c r="B60" s="5"/>
    </row>
    <row r="61" spans="1:9" x14ac:dyDescent="0.25">
      <c r="A61" s="53" t="s">
        <v>117</v>
      </c>
      <c r="B61" s="54"/>
      <c r="C61" s="54"/>
      <c r="D61" s="54"/>
      <c r="E61" s="54"/>
      <c r="F61" s="54"/>
      <c r="G61" s="54"/>
      <c r="H61" s="55"/>
    </row>
    <row r="62" spans="1:9" ht="12.75" x14ac:dyDescent="0.2">
      <c r="A62" s="7" t="s">
        <v>13</v>
      </c>
      <c r="B62" s="7" t="s">
        <v>14</v>
      </c>
      <c r="C62" s="7" t="s">
        <v>73</v>
      </c>
      <c r="D62" s="7" t="s">
        <v>15</v>
      </c>
      <c r="E62" s="7" t="s">
        <v>17</v>
      </c>
      <c r="F62" s="7" t="s">
        <v>74</v>
      </c>
      <c r="G62" s="7" t="s">
        <v>19</v>
      </c>
      <c r="H62" s="7" t="s">
        <v>20</v>
      </c>
    </row>
    <row r="63" spans="1:9" ht="12.75" hidden="1" x14ac:dyDescent="0.2">
      <c r="A63" s="23">
        <v>1</v>
      </c>
      <c r="B63" s="3" t="s">
        <v>118</v>
      </c>
      <c r="C63" s="3">
        <v>2</v>
      </c>
      <c r="D63" s="4">
        <v>5594010</v>
      </c>
      <c r="E63" s="3" t="s">
        <v>119</v>
      </c>
      <c r="F63" s="4">
        <f>C63*D63</f>
        <v>11188020</v>
      </c>
      <c r="G63" s="24">
        <f t="shared" ref="G63:G64" si="9">F63+F63*6%+F63*19%</f>
        <v>13985025</v>
      </c>
      <c r="H63" s="9" t="s">
        <v>120</v>
      </c>
    </row>
    <row r="64" spans="1:9" x14ac:dyDescent="0.25">
      <c r="A64" s="3">
        <v>1</v>
      </c>
      <c r="B64" s="3" t="s">
        <v>121</v>
      </c>
      <c r="C64" s="3">
        <v>1</v>
      </c>
      <c r="D64" s="62">
        <f>8900*F2</f>
        <v>33188100</v>
      </c>
      <c r="E64" s="14" t="s">
        <v>122</v>
      </c>
      <c r="F64" s="67">
        <f>D64*C64</f>
        <v>33188100</v>
      </c>
      <c r="G64" s="63">
        <f t="shared" si="9"/>
        <v>41485125</v>
      </c>
      <c r="H64" s="20" t="s">
        <v>122</v>
      </c>
    </row>
    <row r="65" spans="1:8" x14ac:dyDescent="0.25">
      <c r="F65" s="15" t="s">
        <v>83</v>
      </c>
      <c r="G65" s="66">
        <f>G64</f>
        <v>41485125</v>
      </c>
    </row>
    <row r="67" spans="1:8" x14ac:dyDescent="0.2">
      <c r="A67" s="56" t="s">
        <v>65</v>
      </c>
      <c r="B67" s="54"/>
      <c r="C67" s="54"/>
      <c r="D67" s="54"/>
      <c r="E67" s="54"/>
      <c r="F67" s="54"/>
      <c r="G67" s="54"/>
      <c r="H67" s="55"/>
    </row>
    <row r="68" spans="1:8" ht="12.75" x14ac:dyDescent="0.2">
      <c r="A68" s="7" t="s">
        <v>13</v>
      </c>
      <c r="B68" s="7" t="s">
        <v>14</v>
      </c>
      <c r="C68" s="7" t="s">
        <v>73</v>
      </c>
      <c r="D68" s="7" t="s">
        <v>15</v>
      </c>
      <c r="E68" s="7" t="s">
        <v>17</v>
      </c>
      <c r="F68" s="7" t="s">
        <v>74</v>
      </c>
      <c r="G68" s="7" t="s">
        <v>19</v>
      </c>
      <c r="H68" s="7" t="s">
        <v>20</v>
      </c>
    </row>
    <row r="69" spans="1:8" ht="12.75" x14ac:dyDescent="0.2">
      <c r="A69" s="48">
        <v>1</v>
      </c>
      <c r="B69" s="3" t="s">
        <v>123</v>
      </c>
      <c r="C69" s="3">
        <v>2</v>
      </c>
      <c r="D69" s="63">
        <f>1700*F2</f>
        <v>6339300</v>
      </c>
      <c r="E69" s="3" t="s">
        <v>124</v>
      </c>
      <c r="F69" s="63">
        <f t="shared" ref="F69:F73" si="10">D69*C69</f>
        <v>12678600</v>
      </c>
      <c r="G69" s="63">
        <f t="shared" ref="G69:G73" si="11">F69+F69*6%+F69*19%</f>
        <v>15848250</v>
      </c>
      <c r="H69" s="11" t="s">
        <v>125</v>
      </c>
    </row>
    <row r="70" spans="1:8" ht="12.75" x14ac:dyDescent="0.2">
      <c r="A70" s="50"/>
      <c r="B70" s="3" t="s">
        <v>126</v>
      </c>
      <c r="C70" s="3">
        <v>1</v>
      </c>
      <c r="D70" s="63">
        <f>11000*F2</f>
        <v>41019000</v>
      </c>
      <c r="E70" s="3" t="s">
        <v>127</v>
      </c>
      <c r="F70" s="63">
        <f t="shared" si="10"/>
        <v>41019000</v>
      </c>
      <c r="G70" s="63">
        <f t="shared" si="11"/>
        <v>51273750</v>
      </c>
      <c r="H70" s="11" t="s">
        <v>128</v>
      </c>
    </row>
    <row r="71" spans="1:8" ht="12.75" x14ac:dyDescent="0.2">
      <c r="A71" s="25">
        <v>2</v>
      </c>
      <c r="B71" s="3" t="s">
        <v>129</v>
      </c>
      <c r="C71" s="3">
        <v>3</v>
      </c>
      <c r="D71" s="63">
        <f>2000*3729</f>
        <v>7458000</v>
      </c>
      <c r="E71" s="3" t="s">
        <v>130</v>
      </c>
      <c r="F71" s="63">
        <f t="shared" si="10"/>
        <v>22374000</v>
      </c>
      <c r="G71" s="63">
        <f t="shared" si="11"/>
        <v>27967500</v>
      </c>
      <c r="H71" s="9" t="s">
        <v>131</v>
      </c>
    </row>
    <row r="72" spans="1:8" ht="12.75" x14ac:dyDescent="0.2">
      <c r="A72" s="25">
        <v>3</v>
      </c>
      <c r="B72" s="3" t="s">
        <v>132</v>
      </c>
      <c r="C72" s="3">
        <v>1</v>
      </c>
      <c r="D72" s="63">
        <f>4600*F2</f>
        <v>17153400</v>
      </c>
      <c r="E72" s="3" t="s">
        <v>133</v>
      </c>
      <c r="F72" s="63">
        <f t="shared" si="10"/>
        <v>17153400</v>
      </c>
      <c r="G72" s="63">
        <f t="shared" si="11"/>
        <v>21441750</v>
      </c>
      <c r="H72" s="9" t="s">
        <v>134</v>
      </c>
    </row>
    <row r="73" spans="1:8" ht="12.75" x14ac:dyDescent="0.2">
      <c r="A73" s="25">
        <v>5</v>
      </c>
      <c r="B73" s="3" t="s">
        <v>135</v>
      </c>
      <c r="C73" s="3">
        <v>50</v>
      </c>
      <c r="D73" s="63">
        <f>12.7*F2</f>
        <v>47358.299999999996</v>
      </c>
      <c r="E73" s="3" t="s">
        <v>136</v>
      </c>
      <c r="F73" s="63">
        <f t="shared" si="10"/>
        <v>2367915</v>
      </c>
      <c r="G73" s="63">
        <f t="shared" si="11"/>
        <v>2959893.75</v>
      </c>
      <c r="H73" s="9" t="s">
        <v>137</v>
      </c>
    </row>
    <row r="74" spans="1:8" x14ac:dyDescent="0.25">
      <c r="F74" s="15" t="s">
        <v>83</v>
      </c>
      <c r="G74" s="66">
        <f>SUM(G69:G73)</f>
        <v>119491143.75</v>
      </c>
    </row>
    <row r="76" spans="1:8" x14ac:dyDescent="0.25">
      <c r="A76" s="53" t="s">
        <v>138</v>
      </c>
      <c r="B76" s="54"/>
      <c r="C76" s="54"/>
      <c r="D76" s="54"/>
      <c r="E76" s="54"/>
      <c r="F76" s="54"/>
      <c r="G76" s="54"/>
      <c r="H76" s="55"/>
    </row>
    <row r="77" spans="1:8" ht="12.75" x14ac:dyDescent="0.2">
      <c r="A77" s="7" t="s">
        <v>13</v>
      </c>
      <c r="B77" s="7" t="s">
        <v>14</v>
      </c>
      <c r="C77" s="7" t="s">
        <v>73</v>
      </c>
      <c r="D77" s="7" t="s">
        <v>15</v>
      </c>
      <c r="E77" s="7" t="s">
        <v>17</v>
      </c>
      <c r="F77" s="7" t="s">
        <v>74</v>
      </c>
      <c r="G77" s="7" t="s">
        <v>19</v>
      </c>
      <c r="H77" s="7" t="s">
        <v>20</v>
      </c>
    </row>
    <row r="78" spans="1:8" ht="12.75" x14ac:dyDescent="0.2">
      <c r="A78" s="26"/>
      <c r="B78" s="3" t="s">
        <v>139</v>
      </c>
      <c r="C78" s="3" t="s">
        <v>140</v>
      </c>
      <c r="D78" s="62">
        <v>26991822</v>
      </c>
      <c r="E78" s="3" t="s">
        <v>141</v>
      </c>
      <c r="F78" s="63">
        <f>D78</f>
        <v>26991822</v>
      </c>
      <c r="G78" s="63">
        <f t="shared" ref="G78:G79" si="12">F78+F78*6%+F78*19%</f>
        <v>33739777.5</v>
      </c>
      <c r="H78" s="9" t="s">
        <v>142</v>
      </c>
    </row>
    <row r="79" spans="1:8" ht="12.75" x14ac:dyDescent="0.2">
      <c r="A79" s="26"/>
      <c r="B79" s="3" t="s">
        <v>143</v>
      </c>
      <c r="C79" s="3">
        <v>1</v>
      </c>
      <c r="D79" s="62">
        <v>40000000</v>
      </c>
      <c r="E79" s="3" t="s">
        <v>144</v>
      </c>
      <c r="F79" s="63">
        <f>D79*C79</f>
        <v>40000000</v>
      </c>
      <c r="G79" s="63">
        <f t="shared" si="12"/>
        <v>50000000</v>
      </c>
      <c r="H79" s="9" t="s">
        <v>145</v>
      </c>
    </row>
    <row r="80" spans="1:8" x14ac:dyDescent="0.25">
      <c r="E80" s="15"/>
      <c r="F80" s="15" t="s">
        <v>83</v>
      </c>
      <c r="G80" s="63">
        <f>SUM(G78:G79)</f>
        <v>83739777.5</v>
      </c>
    </row>
    <row r="82" spans="1:8" x14ac:dyDescent="0.25">
      <c r="A82" s="53" t="s">
        <v>146</v>
      </c>
      <c r="B82" s="54"/>
      <c r="C82" s="54"/>
      <c r="D82" s="54"/>
      <c r="E82" s="54"/>
      <c r="F82" s="54"/>
      <c r="G82" s="54"/>
      <c r="H82" s="55"/>
    </row>
    <row r="83" spans="1:8" ht="12.75" x14ac:dyDescent="0.2">
      <c r="A83" s="7" t="s">
        <v>13</v>
      </c>
      <c r="B83" s="7" t="s">
        <v>14</v>
      </c>
      <c r="C83" s="7" t="s">
        <v>73</v>
      </c>
      <c r="D83" s="7" t="s">
        <v>15</v>
      </c>
      <c r="E83" s="7" t="s">
        <v>17</v>
      </c>
      <c r="F83" s="7" t="s">
        <v>74</v>
      </c>
      <c r="G83" s="7" t="s">
        <v>19</v>
      </c>
      <c r="H83" s="7" t="s">
        <v>20</v>
      </c>
    </row>
    <row r="84" spans="1:8" ht="12.75" x14ac:dyDescent="0.2">
      <c r="A84" s="3">
        <v>1</v>
      </c>
      <c r="B84" s="3" t="s">
        <v>147</v>
      </c>
      <c r="C84" s="3">
        <v>5</v>
      </c>
      <c r="D84" s="62">
        <v>119900</v>
      </c>
      <c r="E84" s="3" t="s">
        <v>148</v>
      </c>
      <c r="F84" s="63">
        <f>C84*D84</f>
        <v>599500</v>
      </c>
      <c r="G84" s="63">
        <f>F84</f>
        <v>599500</v>
      </c>
      <c r="H84" s="11" t="s">
        <v>149</v>
      </c>
    </row>
    <row r="85" spans="1:8" x14ac:dyDescent="0.25">
      <c r="F85" s="15" t="s">
        <v>83</v>
      </c>
      <c r="G85" s="66">
        <f>SUM(G84)</f>
        <v>599500</v>
      </c>
    </row>
    <row r="87" spans="1:8" x14ac:dyDescent="0.25">
      <c r="A87" s="53" t="s">
        <v>150</v>
      </c>
      <c r="B87" s="54"/>
      <c r="C87" s="54"/>
      <c r="D87" s="54"/>
      <c r="E87" s="54"/>
      <c r="F87" s="54"/>
      <c r="G87" s="54"/>
      <c r="H87" s="55"/>
    </row>
    <row r="88" spans="1:8" ht="12.75" x14ac:dyDescent="0.2">
      <c r="A88" s="7" t="s">
        <v>13</v>
      </c>
      <c r="B88" s="7" t="s">
        <v>14</v>
      </c>
      <c r="C88" s="7" t="s">
        <v>73</v>
      </c>
      <c r="D88" s="7" t="s">
        <v>15</v>
      </c>
      <c r="E88" s="7" t="s">
        <v>17</v>
      </c>
      <c r="F88" s="7" t="s">
        <v>74</v>
      </c>
      <c r="G88" s="7" t="s">
        <v>19</v>
      </c>
      <c r="H88" s="7" t="s">
        <v>20</v>
      </c>
    </row>
    <row r="89" spans="1:8" ht="12.75" x14ac:dyDescent="0.2">
      <c r="A89" s="3">
        <v>1</v>
      </c>
      <c r="B89" s="3" t="s">
        <v>151</v>
      </c>
      <c r="C89" s="3">
        <v>1</v>
      </c>
      <c r="D89" s="62">
        <v>204467709</v>
      </c>
      <c r="E89" s="3" t="s">
        <v>152</v>
      </c>
      <c r="F89" s="63">
        <f>D89</f>
        <v>204467709</v>
      </c>
      <c r="G89" s="63">
        <f>F89</f>
        <v>204467709</v>
      </c>
      <c r="H89" s="12" t="s">
        <v>153</v>
      </c>
    </row>
    <row r="90" spans="1:8" x14ac:dyDescent="0.25">
      <c r="E90" s="27"/>
      <c r="F90" s="15" t="s">
        <v>83</v>
      </c>
      <c r="G90" s="63">
        <f>G89</f>
        <v>204467709</v>
      </c>
    </row>
    <row r="92" spans="1:8" x14ac:dyDescent="0.25">
      <c r="A92" s="53" t="s">
        <v>154</v>
      </c>
      <c r="B92" s="54"/>
      <c r="C92" s="54"/>
      <c r="D92" s="54"/>
      <c r="E92" s="54"/>
      <c r="F92" s="54"/>
      <c r="G92" s="54"/>
      <c r="H92" s="55"/>
    </row>
    <row r="93" spans="1:8" ht="12.75" x14ac:dyDescent="0.2">
      <c r="A93" s="7" t="s">
        <v>13</v>
      </c>
      <c r="B93" s="7" t="s">
        <v>14</v>
      </c>
      <c r="C93" s="7" t="s">
        <v>73</v>
      </c>
      <c r="D93" s="7" t="s">
        <v>15</v>
      </c>
      <c r="E93" s="7" t="s">
        <v>155</v>
      </c>
      <c r="F93" s="3" t="s">
        <v>74</v>
      </c>
      <c r="G93" s="7"/>
      <c r="H93" s="7" t="s">
        <v>20</v>
      </c>
    </row>
    <row r="94" spans="1:8" ht="12.75" x14ac:dyDescent="0.2">
      <c r="A94" s="21">
        <v>1</v>
      </c>
      <c r="B94" s="3" t="s">
        <v>156</v>
      </c>
      <c r="C94" s="3">
        <v>5</v>
      </c>
      <c r="D94" s="62">
        <v>2100000</v>
      </c>
      <c r="E94" s="4" t="s">
        <v>157</v>
      </c>
      <c r="F94" s="63">
        <f t="shared" ref="F94:F112" si="13">D94*C94</f>
        <v>10500000</v>
      </c>
      <c r="G94" s="10"/>
      <c r="H94" s="26"/>
    </row>
    <row r="95" spans="1:8" ht="12.75" x14ac:dyDescent="0.2">
      <c r="A95" s="21"/>
      <c r="B95" s="3" t="s">
        <v>158</v>
      </c>
      <c r="C95" s="3">
        <v>1</v>
      </c>
      <c r="D95" s="62">
        <v>1000000</v>
      </c>
      <c r="E95" s="4"/>
      <c r="F95" s="63">
        <f t="shared" si="13"/>
        <v>1000000</v>
      </c>
      <c r="G95" s="10"/>
      <c r="H95" s="26"/>
    </row>
    <row r="96" spans="1:8" ht="12.75" x14ac:dyDescent="0.2">
      <c r="A96" s="51">
        <v>2</v>
      </c>
      <c r="B96" s="3" t="s">
        <v>159</v>
      </c>
      <c r="C96" s="3">
        <v>3</v>
      </c>
      <c r="D96" s="62">
        <v>500000</v>
      </c>
      <c r="E96" s="10"/>
      <c r="F96" s="63">
        <f t="shared" si="13"/>
        <v>1500000</v>
      </c>
      <c r="G96" s="10"/>
      <c r="H96" s="26"/>
    </row>
    <row r="97" spans="1:8" ht="12.75" x14ac:dyDescent="0.2">
      <c r="A97" s="49"/>
      <c r="B97" s="3" t="s">
        <v>160</v>
      </c>
      <c r="C97" s="3">
        <v>1</v>
      </c>
      <c r="D97" s="62">
        <v>500000</v>
      </c>
      <c r="E97" s="10"/>
      <c r="F97" s="63">
        <f t="shared" si="13"/>
        <v>500000</v>
      </c>
      <c r="G97" s="10"/>
      <c r="H97" s="26"/>
    </row>
    <row r="98" spans="1:8" ht="12.75" x14ac:dyDescent="0.2">
      <c r="A98" s="50"/>
      <c r="B98" s="3" t="s">
        <v>161</v>
      </c>
      <c r="C98" s="3">
        <v>1</v>
      </c>
      <c r="D98" s="62">
        <v>500000</v>
      </c>
      <c r="E98" s="10"/>
      <c r="F98" s="63">
        <f t="shared" si="13"/>
        <v>500000</v>
      </c>
      <c r="G98" s="10"/>
      <c r="H98" s="26"/>
    </row>
    <row r="99" spans="1:8" ht="12.75" x14ac:dyDescent="0.2">
      <c r="A99" s="52">
        <v>3</v>
      </c>
      <c r="B99" s="3" t="s">
        <v>162</v>
      </c>
      <c r="C99" s="3">
        <v>1</v>
      </c>
      <c r="D99" s="62">
        <v>1000000</v>
      </c>
      <c r="E99" s="10"/>
      <c r="F99" s="63">
        <f t="shared" si="13"/>
        <v>1000000</v>
      </c>
      <c r="G99" s="10"/>
      <c r="H99" s="26"/>
    </row>
    <row r="100" spans="1:8" ht="12.75" x14ac:dyDescent="0.2">
      <c r="A100" s="49"/>
      <c r="B100" s="3" t="s">
        <v>163</v>
      </c>
      <c r="C100" s="3">
        <v>1</v>
      </c>
      <c r="D100" s="62">
        <v>1000000</v>
      </c>
      <c r="E100" s="10"/>
      <c r="F100" s="63">
        <f t="shared" si="13"/>
        <v>1000000</v>
      </c>
      <c r="G100" s="10"/>
      <c r="H100" s="26"/>
    </row>
    <row r="101" spans="1:8" ht="12.75" x14ac:dyDescent="0.2">
      <c r="A101" s="49"/>
      <c r="B101" s="3" t="s">
        <v>164</v>
      </c>
      <c r="C101" s="3">
        <v>1</v>
      </c>
      <c r="D101" s="62">
        <v>1000000</v>
      </c>
      <c r="E101" s="10"/>
      <c r="F101" s="63">
        <f t="shared" si="13"/>
        <v>1000000</v>
      </c>
      <c r="G101" s="10"/>
      <c r="H101" s="26"/>
    </row>
    <row r="102" spans="1:8" ht="12.75" x14ac:dyDescent="0.2">
      <c r="A102" s="50"/>
      <c r="B102" s="3" t="s">
        <v>165</v>
      </c>
      <c r="C102" s="3">
        <v>1</v>
      </c>
      <c r="D102" s="62">
        <v>1000000</v>
      </c>
      <c r="E102" s="10"/>
      <c r="F102" s="63">
        <f t="shared" si="13"/>
        <v>1000000</v>
      </c>
      <c r="G102" s="10"/>
      <c r="H102" s="26"/>
    </row>
    <row r="103" spans="1:8" ht="12.75" x14ac:dyDescent="0.2">
      <c r="A103" s="21">
        <v>4</v>
      </c>
      <c r="B103" s="28" t="s">
        <v>166</v>
      </c>
      <c r="C103" s="3">
        <v>1</v>
      </c>
      <c r="D103" s="62">
        <v>1000000</v>
      </c>
      <c r="E103" s="10"/>
      <c r="F103" s="63">
        <f t="shared" si="13"/>
        <v>1000000</v>
      </c>
      <c r="G103" s="10"/>
      <c r="H103" s="26"/>
    </row>
    <row r="104" spans="1:8" ht="12.75" x14ac:dyDescent="0.2">
      <c r="A104" s="21">
        <v>5</v>
      </c>
      <c r="B104" s="3" t="s">
        <v>167</v>
      </c>
      <c r="C104" s="3">
        <v>3</v>
      </c>
      <c r="D104" s="62">
        <v>1000000</v>
      </c>
      <c r="E104" s="10"/>
      <c r="F104" s="63">
        <f t="shared" si="13"/>
        <v>3000000</v>
      </c>
      <c r="G104" s="10"/>
      <c r="H104" s="26"/>
    </row>
    <row r="105" spans="1:8" ht="12.75" x14ac:dyDescent="0.2">
      <c r="A105" s="21">
        <v>6</v>
      </c>
      <c r="B105" s="3" t="s">
        <v>168</v>
      </c>
      <c r="C105" s="3">
        <v>6</v>
      </c>
      <c r="D105" s="62">
        <v>1000000</v>
      </c>
      <c r="E105" s="10"/>
      <c r="F105" s="63">
        <f t="shared" si="13"/>
        <v>6000000</v>
      </c>
      <c r="G105" s="10"/>
      <c r="H105" s="26"/>
    </row>
    <row r="106" spans="1:8" ht="12.75" x14ac:dyDescent="0.2">
      <c r="A106" s="21">
        <v>7</v>
      </c>
      <c r="B106" s="3" t="s">
        <v>169</v>
      </c>
      <c r="C106" s="3">
        <v>4</v>
      </c>
      <c r="D106" s="62">
        <v>1000000</v>
      </c>
      <c r="E106" s="10"/>
      <c r="F106" s="63">
        <f t="shared" si="13"/>
        <v>4000000</v>
      </c>
      <c r="G106" s="10"/>
      <c r="H106" s="26"/>
    </row>
    <row r="107" spans="1:8" ht="12.75" x14ac:dyDescent="0.2">
      <c r="A107" s="21">
        <v>8</v>
      </c>
      <c r="B107" s="3" t="s">
        <v>170</v>
      </c>
      <c r="C107" s="3">
        <v>4</v>
      </c>
      <c r="D107" s="62">
        <v>2500000</v>
      </c>
      <c r="E107" s="10"/>
      <c r="F107" s="63">
        <f t="shared" si="13"/>
        <v>10000000</v>
      </c>
      <c r="G107" s="10"/>
      <c r="H107" s="26"/>
    </row>
    <row r="108" spans="1:8" ht="12.75" x14ac:dyDescent="0.2">
      <c r="A108" s="21">
        <v>9</v>
      </c>
      <c r="B108" s="3" t="s">
        <v>171</v>
      </c>
      <c r="C108" s="3">
        <v>2</v>
      </c>
      <c r="D108" s="62">
        <v>1800000</v>
      </c>
      <c r="E108" s="10"/>
      <c r="F108" s="63">
        <f t="shared" si="13"/>
        <v>3600000</v>
      </c>
      <c r="G108" s="10"/>
      <c r="H108" s="26"/>
    </row>
    <row r="109" spans="1:8" ht="12.75" x14ac:dyDescent="0.2">
      <c r="A109" s="21">
        <v>10</v>
      </c>
      <c r="B109" s="3" t="s">
        <v>172</v>
      </c>
      <c r="C109" s="3">
        <v>1</v>
      </c>
      <c r="D109" s="62">
        <v>1800000</v>
      </c>
      <c r="E109" s="29"/>
      <c r="F109" s="63">
        <f t="shared" si="13"/>
        <v>1800000</v>
      </c>
      <c r="G109" s="10"/>
      <c r="H109" s="26"/>
    </row>
    <row r="110" spans="1:8" ht="12.75" x14ac:dyDescent="0.2">
      <c r="A110" s="21">
        <v>11</v>
      </c>
      <c r="B110" s="3" t="s">
        <v>173</v>
      </c>
      <c r="C110" s="3">
        <v>4</v>
      </c>
      <c r="D110" s="62">
        <v>1000000</v>
      </c>
      <c r="E110" s="29"/>
      <c r="F110" s="62">
        <f t="shared" si="13"/>
        <v>4000000</v>
      </c>
      <c r="G110" s="10"/>
      <c r="H110" s="26"/>
    </row>
    <row r="111" spans="1:8" ht="12.75" x14ac:dyDescent="0.2">
      <c r="A111" s="21">
        <v>12</v>
      </c>
      <c r="B111" s="3" t="s">
        <v>174</v>
      </c>
      <c r="C111" s="3">
        <v>2</v>
      </c>
      <c r="D111" s="62">
        <v>1000000</v>
      </c>
      <c r="E111" s="29"/>
      <c r="F111" s="63">
        <f t="shared" si="13"/>
        <v>2000000</v>
      </c>
      <c r="G111" s="10"/>
      <c r="H111" s="26"/>
    </row>
    <row r="112" spans="1:8" ht="12.75" x14ac:dyDescent="0.2">
      <c r="A112" s="21">
        <v>13</v>
      </c>
      <c r="B112" s="3" t="s">
        <v>175</v>
      </c>
      <c r="C112" s="3">
        <v>3</v>
      </c>
      <c r="D112" s="62">
        <v>1200000</v>
      </c>
      <c r="E112" s="29"/>
      <c r="F112" s="63">
        <f t="shared" si="13"/>
        <v>3600000</v>
      </c>
      <c r="G112" s="10"/>
      <c r="H112" s="26"/>
    </row>
    <row r="113" spans="1:8" ht="12.75" x14ac:dyDescent="0.2">
      <c r="A113" s="30">
        <v>14</v>
      </c>
      <c r="B113" s="3" t="s">
        <v>176</v>
      </c>
      <c r="C113" s="3">
        <v>1</v>
      </c>
      <c r="D113" s="62">
        <v>7000000</v>
      </c>
      <c r="E113" s="3" t="s">
        <v>177</v>
      </c>
      <c r="F113" s="63">
        <f t="shared" ref="F113:F115" si="14">C113*D113</f>
        <v>7000000</v>
      </c>
      <c r="G113" s="10"/>
      <c r="H113" s="12" t="s">
        <v>178</v>
      </c>
    </row>
    <row r="114" spans="1:8" ht="12.75" x14ac:dyDescent="0.2">
      <c r="A114" s="30">
        <v>15</v>
      </c>
      <c r="B114" s="3" t="s">
        <v>179</v>
      </c>
      <c r="C114" s="3">
        <v>1</v>
      </c>
      <c r="D114" s="62">
        <v>5000000</v>
      </c>
      <c r="E114" s="3"/>
      <c r="F114" s="63">
        <f t="shared" si="14"/>
        <v>5000000</v>
      </c>
      <c r="G114" s="26"/>
      <c r="H114" s="3"/>
    </row>
    <row r="115" spans="1:8" ht="12.75" x14ac:dyDescent="0.2">
      <c r="A115" s="30">
        <v>16</v>
      </c>
      <c r="B115" s="3" t="s">
        <v>180</v>
      </c>
      <c r="C115" s="3">
        <v>1</v>
      </c>
      <c r="D115" s="62">
        <v>2000000</v>
      </c>
      <c r="E115" s="3"/>
      <c r="F115" s="63">
        <f t="shared" si="14"/>
        <v>2000000</v>
      </c>
      <c r="G115" s="26"/>
      <c r="H115" s="3"/>
    </row>
    <row r="116" spans="1:8" ht="12.75" x14ac:dyDescent="0.2">
      <c r="E116" s="27" t="s">
        <v>83</v>
      </c>
      <c r="F116" s="66">
        <f>SUM(F94:F115)</f>
        <v>71000000</v>
      </c>
    </row>
    <row r="118" spans="1:8" x14ac:dyDescent="0.25">
      <c r="A118" s="53" t="s">
        <v>181</v>
      </c>
      <c r="B118" s="54"/>
      <c r="C118" s="54"/>
      <c r="D118" s="54"/>
      <c r="E118" s="54"/>
      <c r="F118" s="54"/>
      <c r="G118" s="54"/>
      <c r="H118" s="55"/>
    </row>
    <row r="119" spans="1:8" ht="12.75" x14ac:dyDescent="0.2">
      <c r="A119" s="7" t="s">
        <v>13</v>
      </c>
      <c r="B119" s="7" t="s">
        <v>14</v>
      </c>
      <c r="C119" s="7" t="s">
        <v>73</v>
      </c>
      <c r="D119" s="7" t="s">
        <v>15</v>
      </c>
      <c r="E119" s="7" t="s">
        <v>17</v>
      </c>
      <c r="F119" s="7" t="s">
        <v>74</v>
      </c>
      <c r="G119" s="7" t="s">
        <v>19</v>
      </c>
      <c r="H119" s="7" t="s">
        <v>20</v>
      </c>
    </row>
    <row r="120" spans="1:8" ht="12.75" x14ac:dyDescent="0.2">
      <c r="A120" s="26"/>
      <c r="B120" s="31" t="s">
        <v>182</v>
      </c>
      <c r="C120" s="3">
        <v>1</v>
      </c>
      <c r="D120" s="63">
        <f>3900*3850</f>
        <v>15015000</v>
      </c>
      <c r="E120" s="3" t="s">
        <v>183</v>
      </c>
      <c r="F120" s="63">
        <f t="shared" ref="F120:F122" si="15">D120</f>
        <v>15015000</v>
      </c>
      <c r="G120" s="63">
        <f t="shared" ref="G120:G122" si="16">F120</f>
        <v>15015000</v>
      </c>
      <c r="H120" s="12" t="s">
        <v>184</v>
      </c>
    </row>
    <row r="121" spans="1:8" ht="12.75" x14ac:dyDescent="0.2">
      <c r="A121" s="26"/>
      <c r="B121" s="31" t="s">
        <v>185</v>
      </c>
      <c r="C121" s="3">
        <v>1</v>
      </c>
      <c r="D121" s="63">
        <f>5900*3850</f>
        <v>22715000</v>
      </c>
      <c r="E121" s="3" t="s">
        <v>186</v>
      </c>
      <c r="F121" s="63">
        <f t="shared" si="15"/>
        <v>22715000</v>
      </c>
      <c r="G121" s="63">
        <f t="shared" si="16"/>
        <v>22715000</v>
      </c>
      <c r="H121" s="12" t="s">
        <v>187</v>
      </c>
    </row>
    <row r="122" spans="1:8" ht="12.75" x14ac:dyDescent="0.2">
      <c r="A122" s="26"/>
      <c r="B122" s="31" t="s">
        <v>188</v>
      </c>
      <c r="C122" s="3">
        <v>1</v>
      </c>
      <c r="D122" s="63">
        <f>(1000+10450)*3850</f>
        <v>44082500</v>
      </c>
      <c r="E122" s="3" t="s">
        <v>189</v>
      </c>
      <c r="F122" s="63">
        <f t="shared" si="15"/>
        <v>44082500</v>
      </c>
      <c r="G122" s="63">
        <f t="shared" si="16"/>
        <v>44082500</v>
      </c>
      <c r="H122" s="12" t="s">
        <v>190</v>
      </c>
    </row>
    <row r="123" spans="1:8" x14ac:dyDescent="0.25">
      <c r="B123" s="32" t="s">
        <v>191</v>
      </c>
      <c r="F123" s="15" t="s">
        <v>83</v>
      </c>
      <c r="G123" s="66">
        <f>SUM(G120:G122)</f>
        <v>81812500</v>
      </c>
    </row>
    <row r="125" spans="1:8" x14ac:dyDescent="0.25">
      <c r="A125" s="53" t="s">
        <v>192</v>
      </c>
      <c r="B125" s="54"/>
      <c r="C125" s="54"/>
      <c r="D125" s="54"/>
      <c r="E125" s="54"/>
      <c r="F125" s="54"/>
      <c r="G125" s="54"/>
      <c r="H125" s="55"/>
    </row>
    <row r="126" spans="1:8" ht="12.75" x14ac:dyDescent="0.2">
      <c r="A126" s="7" t="s">
        <v>13</v>
      </c>
      <c r="B126" s="7" t="s">
        <v>14</v>
      </c>
      <c r="C126" s="7" t="s">
        <v>73</v>
      </c>
      <c r="D126" s="7" t="s">
        <v>15</v>
      </c>
      <c r="E126" s="7" t="s">
        <v>17</v>
      </c>
      <c r="F126" s="7" t="s">
        <v>74</v>
      </c>
      <c r="G126" s="7" t="s">
        <v>19</v>
      </c>
      <c r="H126" s="7" t="s">
        <v>20</v>
      </c>
    </row>
    <row r="127" spans="1:8" ht="12.75" x14ac:dyDescent="0.2">
      <c r="A127" s="48">
        <v>1</v>
      </c>
      <c r="B127" s="3" t="s">
        <v>193</v>
      </c>
      <c r="C127" s="3">
        <v>5</v>
      </c>
      <c r="D127" s="65">
        <v>2837650</v>
      </c>
      <c r="E127" s="3" t="s">
        <v>194</v>
      </c>
      <c r="F127" s="63">
        <f t="shared" ref="F127:F128" si="17">C127*D127</f>
        <v>14188250</v>
      </c>
      <c r="G127" s="63">
        <f t="shared" ref="G127:G128" si="18">F127</f>
        <v>14188250</v>
      </c>
      <c r="H127" s="9" t="s">
        <v>195</v>
      </c>
    </row>
    <row r="128" spans="1:8" ht="12.75" x14ac:dyDescent="0.2">
      <c r="A128" s="49"/>
      <c r="B128" s="3" t="s">
        <v>196</v>
      </c>
      <c r="C128" s="3">
        <v>10</v>
      </c>
      <c r="D128" s="65">
        <v>1510900</v>
      </c>
      <c r="E128" s="3" t="s">
        <v>197</v>
      </c>
      <c r="F128" s="63">
        <f t="shared" si="17"/>
        <v>15109000</v>
      </c>
      <c r="G128" s="63">
        <f t="shared" si="18"/>
        <v>15109000</v>
      </c>
      <c r="H128" s="26"/>
    </row>
    <row r="129" spans="1:8" ht="12.75" x14ac:dyDescent="0.2">
      <c r="A129" s="49"/>
      <c r="B129" s="3" t="s">
        <v>198</v>
      </c>
      <c r="C129" s="3">
        <v>3</v>
      </c>
      <c r="D129" s="65">
        <f>(2500+1200+1200+1000)*3850</f>
        <v>22715000</v>
      </c>
      <c r="E129" s="3" t="s">
        <v>199</v>
      </c>
      <c r="F129" s="63">
        <f>D129*C129</f>
        <v>68145000</v>
      </c>
      <c r="G129" s="63"/>
      <c r="H129" s="26"/>
    </row>
    <row r="130" spans="1:8" ht="12.75" x14ac:dyDescent="0.2">
      <c r="A130" s="49"/>
      <c r="B130" s="3" t="s">
        <v>200</v>
      </c>
      <c r="C130" s="3"/>
      <c r="D130" s="4"/>
      <c r="E130" s="3"/>
      <c r="F130" s="63"/>
      <c r="G130" s="63"/>
      <c r="H130" s="26"/>
    </row>
    <row r="131" spans="1:8" ht="12.75" x14ac:dyDescent="0.2">
      <c r="A131" s="49"/>
      <c r="B131" s="3" t="s">
        <v>201</v>
      </c>
      <c r="C131" s="3">
        <v>1</v>
      </c>
      <c r="D131" s="62">
        <v>50000000</v>
      </c>
      <c r="E131" s="3" t="s">
        <v>202</v>
      </c>
      <c r="F131" s="63">
        <f t="shared" ref="F131:F132" si="19">D131*C131</f>
        <v>50000000</v>
      </c>
      <c r="G131" s="63">
        <f t="shared" ref="G131:G132" si="20">F131</f>
        <v>50000000</v>
      </c>
      <c r="H131" s="26"/>
    </row>
    <row r="132" spans="1:8" ht="12.75" x14ac:dyDescent="0.2">
      <c r="A132" s="50"/>
      <c r="B132" s="3" t="s">
        <v>203</v>
      </c>
      <c r="C132" s="3">
        <v>1</v>
      </c>
      <c r="D132" s="62">
        <v>10000000</v>
      </c>
      <c r="E132" s="3" t="s">
        <v>203</v>
      </c>
      <c r="F132" s="63">
        <f t="shared" si="19"/>
        <v>10000000</v>
      </c>
      <c r="G132" s="63">
        <f t="shared" si="20"/>
        <v>10000000</v>
      </c>
      <c r="H132" s="26"/>
    </row>
    <row r="133" spans="1:8" x14ac:dyDescent="0.25">
      <c r="F133" s="15" t="s">
        <v>83</v>
      </c>
      <c r="G133" s="66">
        <f>SUM(G127:G132)</f>
        <v>89297250</v>
      </c>
    </row>
    <row r="136" spans="1:8" ht="12.75" x14ac:dyDescent="0.2">
      <c r="A136" s="5" t="s">
        <v>204</v>
      </c>
      <c r="B136" s="5"/>
      <c r="C136" s="5"/>
    </row>
    <row r="137" spans="1:8" ht="12.75" x14ac:dyDescent="0.2">
      <c r="A137" s="11" t="s">
        <v>205</v>
      </c>
      <c r="B137" s="33"/>
      <c r="C137" s="33"/>
      <c r="H137" s="5" t="s">
        <v>206</v>
      </c>
    </row>
    <row r="138" spans="1:8" ht="12.75" x14ac:dyDescent="0.2">
      <c r="A138" s="11" t="s">
        <v>207</v>
      </c>
      <c r="B138" s="33"/>
      <c r="C138" s="33"/>
    </row>
    <row r="139" spans="1:8" ht="12.75" x14ac:dyDescent="0.2">
      <c r="A139" s="11" t="s">
        <v>208</v>
      </c>
      <c r="B139" s="33"/>
      <c r="C139" s="33"/>
    </row>
    <row r="141" spans="1:8" ht="12.75" x14ac:dyDescent="0.2">
      <c r="A141" s="5" t="s">
        <v>209</v>
      </c>
      <c r="B141" s="5"/>
      <c r="C141" s="5"/>
    </row>
    <row r="142" spans="1:8" ht="12.75" x14ac:dyDescent="0.2">
      <c r="A142" s="34" t="s">
        <v>210</v>
      </c>
      <c r="B142" s="5"/>
      <c r="C142" s="5"/>
      <c r="F142" s="35" t="s">
        <v>211</v>
      </c>
      <c r="G142" s="35"/>
    </row>
    <row r="143" spans="1:8" ht="12.75" x14ac:dyDescent="0.2">
      <c r="A143" s="11" t="s">
        <v>212</v>
      </c>
      <c r="B143" s="33"/>
      <c r="C143" s="33"/>
      <c r="F143" s="36"/>
      <c r="G143" s="36"/>
    </row>
    <row r="144" spans="1:8" ht="12.75" x14ac:dyDescent="0.2">
      <c r="A144" s="11" t="s">
        <v>213</v>
      </c>
      <c r="B144" s="33"/>
      <c r="C144" s="33"/>
    </row>
    <row r="146" spans="1:7" ht="12.75" x14ac:dyDescent="0.2">
      <c r="A146" s="5" t="s">
        <v>102</v>
      </c>
      <c r="B146" s="5"/>
      <c r="C146" s="5"/>
    </row>
    <row r="147" spans="1:7" ht="12.75" x14ac:dyDescent="0.2">
      <c r="A147" s="11" t="s">
        <v>214</v>
      </c>
      <c r="B147" s="33"/>
      <c r="C147" s="33"/>
    </row>
    <row r="149" spans="1:7" ht="12.75" x14ac:dyDescent="0.2">
      <c r="A149" s="5" t="s">
        <v>105</v>
      </c>
      <c r="B149" s="5"/>
      <c r="C149" s="5"/>
    </row>
    <row r="150" spans="1:7" ht="12.75" x14ac:dyDescent="0.2">
      <c r="A150" s="11" t="s">
        <v>215</v>
      </c>
      <c r="B150" s="33"/>
      <c r="C150" s="33"/>
    </row>
    <row r="152" spans="1:7" ht="12.75" x14ac:dyDescent="0.2">
      <c r="A152" s="5" t="s">
        <v>75</v>
      </c>
    </row>
    <row r="153" spans="1:7" ht="12.75" x14ac:dyDescent="0.2">
      <c r="A153" s="11" t="s">
        <v>216</v>
      </c>
      <c r="F153" s="5" t="s">
        <v>217</v>
      </c>
      <c r="G153" s="5"/>
    </row>
    <row r="154" spans="1:7" ht="12.75" x14ac:dyDescent="0.2">
      <c r="A154" s="11" t="s">
        <v>218</v>
      </c>
      <c r="F154" s="5"/>
      <c r="G154" s="5"/>
    </row>
    <row r="155" spans="1:7" ht="12.75" x14ac:dyDescent="0.2">
      <c r="A155" s="11" t="s">
        <v>219</v>
      </c>
      <c r="F155" s="5"/>
      <c r="G155" s="5"/>
    </row>
    <row r="157" spans="1:7" ht="12.75" x14ac:dyDescent="0.2">
      <c r="A157" s="5" t="s">
        <v>220</v>
      </c>
    </row>
    <row r="158" spans="1:7" ht="12.75" x14ac:dyDescent="0.2">
      <c r="A158" s="34" t="s">
        <v>221</v>
      </c>
      <c r="F158" s="5" t="s">
        <v>222</v>
      </c>
      <c r="G158" s="5"/>
    </row>
    <row r="159" spans="1:7" ht="12.75" x14ac:dyDescent="0.2">
      <c r="A159" s="5"/>
      <c r="F159" s="5"/>
      <c r="G159" s="5"/>
    </row>
    <row r="160" spans="1:7" ht="12.75" x14ac:dyDescent="0.2">
      <c r="A160" s="5" t="s">
        <v>223</v>
      </c>
      <c r="F160" s="5"/>
      <c r="G160" s="5"/>
    </row>
    <row r="161" spans="1:7" ht="12.75" x14ac:dyDescent="0.2">
      <c r="A161" s="11" t="s">
        <v>224</v>
      </c>
      <c r="F161" s="5" t="s">
        <v>225</v>
      </c>
      <c r="G161" s="5"/>
    </row>
    <row r="162" spans="1:7" ht="12.75" x14ac:dyDescent="0.2">
      <c r="A162" s="11" t="s">
        <v>226</v>
      </c>
    </row>
    <row r="163" spans="1:7" ht="12.75" x14ac:dyDescent="0.2">
      <c r="A163" s="11" t="s">
        <v>227</v>
      </c>
    </row>
    <row r="165" spans="1:7" ht="12.75" x14ac:dyDescent="0.2">
      <c r="A165" s="5" t="s">
        <v>228</v>
      </c>
    </row>
    <row r="166" spans="1:7" ht="12.75" x14ac:dyDescent="0.2">
      <c r="B166" s="5" t="s">
        <v>229</v>
      </c>
    </row>
    <row r="167" spans="1:7" ht="12.75" x14ac:dyDescent="0.2">
      <c r="B167" s="34" t="s">
        <v>230</v>
      </c>
      <c r="C167" s="5" t="s">
        <v>231</v>
      </c>
    </row>
    <row r="168" spans="1:7" ht="12.75" x14ac:dyDescent="0.2">
      <c r="B168" s="34" t="s">
        <v>232</v>
      </c>
      <c r="D168" s="5" t="s">
        <v>233</v>
      </c>
    </row>
    <row r="170" spans="1:7" ht="12.75" x14ac:dyDescent="0.2">
      <c r="A170" s="5" t="s">
        <v>234</v>
      </c>
    </row>
    <row r="171" spans="1:7" ht="12.75" x14ac:dyDescent="0.2">
      <c r="B171" s="34" t="s">
        <v>235</v>
      </c>
      <c r="C171" s="5" t="s">
        <v>236</v>
      </c>
    </row>
    <row r="172" spans="1:7" ht="12.75" x14ac:dyDescent="0.2">
      <c r="B172" s="5" t="s">
        <v>237</v>
      </c>
      <c r="D172" s="5" t="s">
        <v>238</v>
      </c>
    </row>
    <row r="174" spans="1:7" ht="12.75" x14ac:dyDescent="0.2">
      <c r="A174" s="5" t="s">
        <v>239</v>
      </c>
    </row>
    <row r="175" spans="1:7" ht="12.75" x14ac:dyDescent="0.2">
      <c r="B175" s="5" t="s">
        <v>240</v>
      </c>
    </row>
    <row r="176" spans="1:7" ht="12.75" x14ac:dyDescent="0.2">
      <c r="D176" s="5" t="s">
        <v>241</v>
      </c>
    </row>
    <row r="178" spans="1:4" ht="12.75" x14ac:dyDescent="0.2">
      <c r="A178" s="5" t="s">
        <v>242</v>
      </c>
      <c r="B178" s="5" t="s">
        <v>243</v>
      </c>
    </row>
    <row r="179" spans="1:4" ht="12.75" x14ac:dyDescent="0.2">
      <c r="B179" s="5" t="s">
        <v>244</v>
      </c>
    </row>
    <row r="180" spans="1:4" ht="12.75" x14ac:dyDescent="0.2">
      <c r="B180" s="5" t="s">
        <v>245</v>
      </c>
    </row>
    <row r="181" spans="1:4" ht="12.75" x14ac:dyDescent="0.2">
      <c r="B181" s="34" t="s">
        <v>246</v>
      </c>
      <c r="D181" s="5" t="s">
        <v>247</v>
      </c>
    </row>
    <row r="183" spans="1:4" ht="12.75" x14ac:dyDescent="0.2">
      <c r="A183" s="5" t="s">
        <v>200</v>
      </c>
      <c r="B183" s="5" t="s">
        <v>248</v>
      </c>
    </row>
    <row r="184" spans="1:4" ht="12.75" x14ac:dyDescent="0.2">
      <c r="B184" s="34" t="s">
        <v>249</v>
      </c>
    </row>
    <row r="185" spans="1:4" ht="12.75" x14ac:dyDescent="0.2">
      <c r="D185" s="5" t="s">
        <v>250</v>
      </c>
    </row>
  </sheetData>
  <mergeCells count="22">
    <mergeCell ref="A12:H12"/>
    <mergeCell ref="A15:A19"/>
    <mergeCell ref="A20:A24"/>
    <mergeCell ref="A29:H29"/>
    <mergeCell ref="A36:H36"/>
    <mergeCell ref="A99:A102"/>
    <mergeCell ref="A127:A132"/>
    <mergeCell ref="A61:H61"/>
    <mergeCell ref="A67:H67"/>
    <mergeCell ref="A76:H76"/>
    <mergeCell ref="A82:H82"/>
    <mergeCell ref="A87:H87"/>
    <mergeCell ref="A92:H92"/>
    <mergeCell ref="A118:H118"/>
    <mergeCell ref="A125:H125"/>
    <mergeCell ref="A31:A33"/>
    <mergeCell ref="A53:A54"/>
    <mergeCell ref="A55:A57"/>
    <mergeCell ref="A69:A70"/>
    <mergeCell ref="A96:A98"/>
    <mergeCell ref="A46:H46"/>
    <mergeCell ref="A51:H51"/>
  </mergeCells>
  <hyperlinks>
    <hyperlink ref="H14" r:id="rId1" xr:uid="{00000000-0004-0000-0000-000000000000}"/>
    <hyperlink ref="H15" r:id="rId2" xr:uid="{00000000-0004-0000-0000-000001000000}"/>
    <hyperlink ref="H16" r:id="rId3" xr:uid="{00000000-0004-0000-0000-000002000000}"/>
    <hyperlink ref="H17" r:id="rId4" xr:uid="{00000000-0004-0000-0000-000003000000}"/>
    <hyperlink ref="H18" r:id="rId5" location="position=1&amp;search_layout=stack&amp;type=pad&amp;tracking_id=6a3b6491-bb04-4fcf-a7d0-1b2f69b4a00d&amp;is_advertising=true&amp;ad_domain=VQCATCORE_LST&amp;ad_position=1&amp;ad_click_id=N2M2NjllNWQtMWM0ZC00NjhjLThkMTMtZjc0MGFhZmI5MDI1" xr:uid="{00000000-0004-0000-0000-000004000000}"/>
    <hyperlink ref="H19" r:id="rId6" xr:uid="{00000000-0004-0000-0000-000005000000}"/>
    <hyperlink ref="H20" r:id="rId7" xr:uid="{00000000-0004-0000-0000-000006000000}"/>
    <hyperlink ref="H21" r:id="rId8" xr:uid="{00000000-0004-0000-0000-000007000000}"/>
    <hyperlink ref="H22" r:id="rId9" xr:uid="{00000000-0004-0000-0000-000008000000}"/>
    <hyperlink ref="H23" r:id="rId10" xr:uid="{00000000-0004-0000-0000-000009000000}"/>
    <hyperlink ref="H24" r:id="rId11" xr:uid="{00000000-0004-0000-0000-00000A000000}"/>
    <hyperlink ref="H25" r:id="rId12" xr:uid="{00000000-0004-0000-0000-00000B000000}"/>
    <hyperlink ref="H31" r:id="rId13" xr:uid="{00000000-0004-0000-0000-00000C000000}"/>
    <hyperlink ref="H33" r:id="rId14" location="searchVariation=173580527771&amp;position=29&amp;search_layout=stack&amp;type=item&amp;tracking_id=18ace50b-3305-424a-ad8a-aff2b055660f" xr:uid="{00000000-0004-0000-0000-00000D000000}"/>
    <hyperlink ref="H38" r:id="rId15" xr:uid="{00000000-0004-0000-0000-00000E000000}"/>
    <hyperlink ref="H39" r:id="rId16" xr:uid="{00000000-0004-0000-0000-00000F000000}"/>
    <hyperlink ref="H40" r:id="rId17" xr:uid="{00000000-0004-0000-0000-000010000000}"/>
    <hyperlink ref="H41" r:id="rId18" xr:uid="{00000000-0004-0000-0000-000011000000}"/>
    <hyperlink ref="H48" r:id="rId19" xr:uid="{00000000-0004-0000-0000-000012000000}"/>
    <hyperlink ref="H53" r:id="rId20" xr:uid="{00000000-0004-0000-0000-000013000000}"/>
    <hyperlink ref="H54" r:id="rId21" xr:uid="{00000000-0004-0000-0000-000014000000}"/>
    <hyperlink ref="H55" r:id="rId22" xr:uid="{00000000-0004-0000-0000-000015000000}"/>
    <hyperlink ref="H56" r:id="rId23" location="reco_item_pos=0&amp;reco_backend=machinalis-seller-items&amp;reco_backend_type=low_level&amp;reco_client=vip-seller_items-above&amp;reco_id=db50efcf-c56f-488d-98cb-e6fcd9ce73d1" xr:uid="{00000000-0004-0000-0000-000016000000}"/>
    <hyperlink ref="H58" r:id="rId24" xr:uid="{00000000-0004-0000-0000-000017000000}"/>
    <hyperlink ref="I58" r:id="rId25" xr:uid="{00000000-0004-0000-0000-000018000000}"/>
    <hyperlink ref="H63" r:id="rId26" xr:uid="{00000000-0004-0000-0000-000019000000}"/>
    <hyperlink ref="H64" r:id="rId27" xr:uid="{00000000-0004-0000-0000-00001A000000}"/>
    <hyperlink ref="H69" r:id="rId28" xr:uid="{00000000-0004-0000-0000-00001B000000}"/>
    <hyperlink ref="H70" r:id="rId29" xr:uid="{00000000-0004-0000-0000-00001C000000}"/>
    <hyperlink ref="H71" r:id="rId30" xr:uid="{00000000-0004-0000-0000-00001D000000}"/>
    <hyperlink ref="H72" r:id="rId31" xr:uid="{00000000-0004-0000-0000-00001E000000}"/>
    <hyperlink ref="H73" r:id="rId32" xr:uid="{00000000-0004-0000-0000-00001F000000}"/>
    <hyperlink ref="H78" r:id="rId33" xr:uid="{00000000-0004-0000-0000-000020000000}"/>
    <hyperlink ref="H79" r:id="rId34" xr:uid="{00000000-0004-0000-0000-000021000000}"/>
    <hyperlink ref="H84" r:id="rId35" xr:uid="{00000000-0004-0000-0000-000022000000}"/>
    <hyperlink ref="H89" r:id="rId36" xr:uid="{00000000-0004-0000-0000-000023000000}"/>
    <hyperlink ref="H120" r:id="rId37" xr:uid="{00000000-0004-0000-0000-000025000000}"/>
    <hyperlink ref="H121" r:id="rId38" xr:uid="{00000000-0004-0000-0000-000026000000}"/>
    <hyperlink ref="H122" r:id="rId39" xr:uid="{00000000-0004-0000-0000-000027000000}"/>
    <hyperlink ref="H127" r:id="rId40" location="position=1&amp;search_layout=stack&amp;type=item&amp;tracking_id=43a27c74-ff41-4aa8-ae94-1f52c6fe75fe" xr:uid="{00000000-0004-0000-0000-000028000000}"/>
    <hyperlink ref="A137" r:id="rId41" xr:uid="{00000000-0004-0000-0000-000029000000}"/>
    <hyperlink ref="A138" r:id="rId42" xr:uid="{00000000-0004-0000-0000-00002A000000}"/>
    <hyperlink ref="A139" r:id="rId43" xr:uid="{00000000-0004-0000-0000-00002B000000}"/>
    <hyperlink ref="A142" r:id="rId44" xr:uid="{00000000-0004-0000-0000-00002C000000}"/>
    <hyperlink ref="A143" r:id="rId45" xr:uid="{00000000-0004-0000-0000-00002D000000}"/>
    <hyperlink ref="A144" r:id="rId46" xr:uid="{00000000-0004-0000-0000-00002E000000}"/>
    <hyperlink ref="A147" r:id="rId47" xr:uid="{00000000-0004-0000-0000-00002F000000}"/>
    <hyperlink ref="A150" r:id="rId48" location="position=4&amp;search_layout=stack&amp;type=item&amp;tracking_id=1f84187f-d267-43ce-a800-61498bfa9746" xr:uid="{00000000-0004-0000-0000-000030000000}"/>
    <hyperlink ref="A153" r:id="rId49" xr:uid="{00000000-0004-0000-0000-000031000000}"/>
    <hyperlink ref="A154" r:id="rId50" xr:uid="{00000000-0004-0000-0000-000032000000}"/>
    <hyperlink ref="A155" r:id="rId51" xr:uid="{00000000-0004-0000-0000-000033000000}"/>
    <hyperlink ref="A158" r:id="rId52" xr:uid="{00000000-0004-0000-0000-000034000000}"/>
    <hyperlink ref="A161" r:id="rId53" xr:uid="{00000000-0004-0000-0000-000035000000}"/>
    <hyperlink ref="A162" r:id="rId54" xr:uid="{00000000-0004-0000-0000-000036000000}"/>
    <hyperlink ref="A163" r:id="rId55" xr:uid="{00000000-0004-0000-0000-000037000000}"/>
    <hyperlink ref="B167" r:id="rId56" xr:uid="{00000000-0004-0000-0000-000038000000}"/>
    <hyperlink ref="B168" r:id="rId57" xr:uid="{00000000-0004-0000-0000-000039000000}"/>
    <hyperlink ref="B171" r:id="rId58" xr:uid="{00000000-0004-0000-0000-00003A000000}"/>
    <hyperlink ref="B181" r:id="rId59" xr:uid="{00000000-0004-0000-0000-00003B000000}"/>
    <hyperlink ref="B184" r:id="rId60" xr:uid="{00000000-0004-0000-0000-00003C000000}"/>
    <hyperlink ref="H113" r:id="rId61" xr:uid="{00000000-0004-0000-0000-000024000000}"/>
  </hyperlinks>
  <pageMargins left="0.7" right="0.7" top="0.75" bottom="0.75" header="0.3" footer="0.3"/>
  <pageSetup paperSize="9" orientation="portrait"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I80"/>
  <sheetViews>
    <sheetView workbookViewId="0">
      <selection activeCell="F4" sqref="F4"/>
    </sheetView>
  </sheetViews>
  <sheetFormatPr baseColWidth="10" defaultColWidth="12.5703125" defaultRowHeight="15.75" customHeight="1" x14ac:dyDescent="0.2"/>
  <cols>
    <col min="2" max="2" width="6.28515625" customWidth="1"/>
    <col min="3" max="3" width="16.7109375" bestFit="1" customWidth="1"/>
    <col min="5" max="5" width="4.85546875" customWidth="1"/>
    <col min="6" max="6" width="15.5703125" bestFit="1" customWidth="1"/>
    <col min="7" max="7" width="16.140625" customWidth="1"/>
    <col min="8" max="9" width="16.5703125" customWidth="1"/>
  </cols>
  <sheetData>
    <row r="2" spans="2:9" ht="15.75" customHeight="1" x14ac:dyDescent="0.25">
      <c r="B2" s="37" t="s">
        <v>251</v>
      </c>
      <c r="C2" s="73">
        <f>-Datos!D2</f>
        <v>-892916478.75</v>
      </c>
      <c r="D2" s="38"/>
      <c r="E2" s="38"/>
      <c r="F2" s="38"/>
      <c r="G2" s="38"/>
      <c r="H2" s="38"/>
      <c r="I2" s="38"/>
    </row>
    <row r="3" spans="2:9" ht="15.75" customHeight="1" x14ac:dyDescent="0.25">
      <c r="B3" s="37" t="s">
        <v>252</v>
      </c>
      <c r="C3" s="39">
        <f>12*6</f>
        <v>72</v>
      </c>
      <c r="D3" s="40" t="s">
        <v>253</v>
      </c>
      <c r="E3" s="38"/>
      <c r="F3" s="38"/>
      <c r="G3" s="59"/>
      <c r="H3" s="60"/>
      <c r="I3" s="38"/>
    </row>
    <row r="4" spans="2:9" ht="15.75" customHeight="1" x14ac:dyDescent="0.25">
      <c r="B4" s="37" t="s">
        <v>254</v>
      </c>
      <c r="C4" s="41">
        <v>2.2100000000000002E-2</v>
      </c>
      <c r="D4" s="40" t="s">
        <v>255</v>
      </c>
      <c r="E4" s="38"/>
      <c r="F4" s="38"/>
      <c r="G4" s="38"/>
      <c r="H4" s="38"/>
      <c r="I4" s="38"/>
    </row>
    <row r="5" spans="2:9" ht="15.75" customHeight="1" x14ac:dyDescent="0.25">
      <c r="B5" s="37" t="s">
        <v>256</v>
      </c>
      <c r="C5" s="72">
        <f>PMT(C4,C3,C2)</f>
        <v>24892128.00481575</v>
      </c>
      <c r="D5" s="38"/>
      <c r="E5" s="38"/>
      <c r="F5" s="38"/>
      <c r="G5" s="38"/>
      <c r="H5" s="38"/>
      <c r="I5" s="38"/>
    </row>
    <row r="6" spans="2:9" ht="15.75" customHeight="1" x14ac:dyDescent="0.25">
      <c r="B6" s="38"/>
      <c r="C6" s="38"/>
      <c r="D6" s="38"/>
      <c r="E6" s="38"/>
      <c r="F6" s="38"/>
      <c r="G6" s="38"/>
      <c r="H6" s="38"/>
      <c r="I6" s="38"/>
    </row>
    <row r="7" spans="2:9" ht="15.75" customHeight="1" x14ac:dyDescent="0.25">
      <c r="B7" s="38"/>
      <c r="C7" s="38"/>
      <c r="D7" s="38"/>
      <c r="E7" s="42" t="s">
        <v>257</v>
      </c>
      <c r="F7" s="42" t="s">
        <v>256</v>
      </c>
      <c r="G7" s="42" t="s">
        <v>258</v>
      </c>
      <c r="H7" s="42" t="s">
        <v>259</v>
      </c>
      <c r="I7" s="42" t="s">
        <v>260</v>
      </c>
    </row>
    <row r="8" spans="2:9" ht="15.75" customHeight="1" x14ac:dyDescent="0.25">
      <c r="B8" s="38"/>
      <c r="C8" s="38"/>
      <c r="D8" s="38"/>
      <c r="E8" s="43">
        <v>0</v>
      </c>
      <c r="F8" s="71"/>
      <c r="G8" s="71"/>
      <c r="H8" s="71"/>
      <c r="I8" s="71">
        <f>-C2</f>
        <v>892916478.75</v>
      </c>
    </row>
    <row r="9" spans="2:9" ht="15.75" customHeight="1" x14ac:dyDescent="0.25">
      <c r="B9" s="38"/>
      <c r="C9" s="38"/>
      <c r="D9" s="38"/>
      <c r="E9" s="43">
        <v>1</v>
      </c>
      <c r="F9" s="71">
        <f t="shared" ref="F9:F80" si="0">$C$5</f>
        <v>24892128.00481575</v>
      </c>
      <c r="G9" s="71">
        <f t="shared" ref="G9:G80" si="1">I8*$C$4</f>
        <v>19733454.180375002</v>
      </c>
      <c r="H9" s="71">
        <f t="shared" ref="H9:H80" si="2">F9-G9</f>
        <v>5158673.8244407475</v>
      </c>
      <c r="I9" s="71">
        <f t="shared" ref="I9:I80" si="3">I8-H9</f>
        <v>887757804.92555928</v>
      </c>
    </row>
    <row r="10" spans="2:9" ht="15.75" customHeight="1" x14ac:dyDescent="0.25">
      <c r="B10" s="38"/>
      <c r="C10" s="38"/>
      <c r="D10" s="38"/>
      <c r="E10" s="43">
        <v>2</v>
      </c>
      <c r="F10" s="71">
        <f t="shared" si="0"/>
        <v>24892128.00481575</v>
      </c>
      <c r="G10" s="71">
        <f t="shared" si="1"/>
        <v>19619447.488854863</v>
      </c>
      <c r="H10" s="71">
        <f t="shared" si="2"/>
        <v>5272680.5159608871</v>
      </c>
      <c r="I10" s="71">
        <f t="shared" si="3"/>
        <v>882485124.40959835</v>
      </c>
    </row>
    <row r="11" spans="2:9" ht="15.75" customHeight="1" x14ac:dyDescent="0.25">
      <c r="B11" s="38"/>
      <c r="C11" s="38"/>
      <c r="D11" s="38"/>
      <c r="E11" s="43">
        <v>3</v>
      </c>
      <c r="F11" s="71">
        <f t="shared" si="0"/>
        <v>24892128.00481575</v>
      </c>
      <c r="G11" s="71">
        <f t="shared" si="1"/>
        <v>19502921.249452125</v>
      </c>
      <c r="H11" s="71">
        <f t="shared" si="2"/>
        <v>5389206.7553636245</v>
      </c>
      <c r="I11" s="71">
        <f t="shared" si="3"/>
        <v>877095917.65423477</v>
      </c>
    </row>
    <row r="12" spans="2:9" ht="15.75" customHeight="1" x14ac:dyDescent="0.25">
      <c r="B12" s="38"/>
      <c r="C12" s="38"/>
      <c r="D12" s="38"/>
      <c r="E12" s="43">
        <v>4</v>
      </c>
      <c r="F12" s="71">
        <f t="shared" si="0"/>
        <v>24892128.00481575</v>
      </c>
      <c r="G12" s="71">
        <f t="shared" si="1"/>
        <v>19383819.780158591</v>
      </c>
      <c r="H12" s="71">
        <f t="shared" si="2"/>
        <v>5508308.2246571593</v>
      </c>
      <c r="I12" s="71">
        <f t="shared" si="3"/>
        <v>871587609.42957759</v>
      </c>
    </row>
    <row r="13" spans="2:9" ht="15.75" customHeight="1" x14ac:dyDescent="0.25">
      <c r="B13" s="38"/>
      <c r="C13" s="38"/>
      <c r="D13" s="38"/>
      <c r="E13" s="43">
        <v>5</v>
      </c>
      <c r="F13" s="71">
        <f t="shared" si="0"/>
        <v>24892128.00481575</v>
      </c>
      <c r="G13" s="71">
        <f t="shared" si="1"/>
        <v>19262086.168393668</v>
      </c>
      <c r="H13" s="71">
        <f t="shared" si="2"/>
        <v>5630041.836422082</v>
      </c>
      <c r="I13" s="71">
        <f t="shared" si="3"/>
        <v>865957567.5931555</v>
      </c>
    </row>
    <row r="14" spans="2:9" ht="15.75" customHeight="1" x14ac:dyDescent="0.25">
      <c r="E14" s="43">
        <v>6</v>
      </c>
      <c r="F14" s="71">
        <f t="shared" si="0"/>
        <v>24892128.00481575</v>
      </c>
      <c r="G14" s="71">
        <f t="shared" si="1"/>
        <v>19137662.243808739</v>
      </c>
      <c r="H14" s="71">
        <f t="shared" si="2"/>
        <v>5754465.7610070109</v>
      </c>
      <c r="I14" s="71">
        <f t="shared" si="3"/>
        <v>860203101.83214855</v>
      </c>
    </row>
    <row r="15" spans="2:9" ht="15.75" customHeight="1" x14ac:dyDescent="0.25">
      <c r="E15" s="43">
        <v>7</v>
      </c>
      <c r="F15" s="71">
        <f t="shared" si="0"/>
        <v>24892128.00481575</v>
      </c>
      <c r="G15" s="71">
        <f t="shared" si="1"/>
        <v>19010488.550490484</v>
      </c>
      <c r="H15" s="71">
        <f t="shared" si="2"/>
        <v>5881639.4543252662</v>
      </c>
      <c r="I15" s="71">
        <f t="shared" si="3"/>
        <v>854321462.37782323</v>
      </c>
    </row>
    <row r="16" spans="2:9" ht="15.75" customHeight="1" x14ac:dyDescent="0.25">
      <c r="E16" s="43">
        <v>8</v>
      </c>
      <c r="F16" s="71">
        <f t="shared" si="0"/>
        <v>24892128.00481575</v>
      </c>
      <c r="G16" s="71">
        <f t="shared" si="1"/>
        <v>18880504.318549894</v>
      </c>
      <c r="H16" s="71">
        <f t="shared" si="2"/>
        <v>6011623.686265856</v>
      </c>
      <c r="I16" s="71">
        <f t="shared" si="3"/>
        <v>848309838.69155741</v>
      </c>
    </row>
    <row r="17" spans="5:9" ht="15.75" customHeight="1" x14ac:dyDescent="0.25">
      <c r="E17" s="43">
        <v>9</v>
      </c>
      <c r="F17" s="71">
        <f t="shared" si="0"/>
        <v>24892128.00481575</v>
      </c>
      <c r="G17" s="71">
        <f t="shared" si="1"/>
        <v>18747647.435083419</v>
      </c>
      <c r="H17" s="71">
        <f t="shared" si="2"/>
        <v>6144480.5697323307</v>
      </c>
      <c r="I17" s="71">
        <f t="shared" si="3"/>
        <v>842165358.1218251</v>
      </c>
    </row>
    <row r="18" spans="5:9" ht="15.75" customHeight="1" x14ac:dyDescent="0.25">
      <c r="E18" s="43">
        <v>10</v>
      </c>
      <c r="F18" s="71">
        <f t="shared" si="0"/>
        <v>24892128.00481575</v>
      </c>
      <c r="G18" s="71">
        <f t="shared" si="1"/>
        <v>18611854.414492335</v>
      </c>
      <c r="H18" s="71">
        <f t="shared" si="2"/>
        <v>6280273.5903234147</v>
      </c>
      <c r="I18" s="71">
        <f t="shared" si="3"/>
        <v>835885084.53150165</v>
      </c>
    </row>
    <row r="19" spans="5:9" ht="15.75" customHeight="1" x14ac:dyDescent="0.25">
      <c r="E19" s="43">
        <v>11</v>
      </c>
      <c r="F19" s="71">
        <f t="shared" si="0"/>
        <v>24892128.00481575</v>
      </c>
      <c r="G19" s="71">
        <f t="shared" si="1"/>
        <v>18473060.368146189</v>
      </c>
      <c r="H19" s="71">
        <f t="shared" si="2"/>
        <v>6419067.6366695613</v>
      </c>
      <c r="I19" s="71">
        <f t="shared" si="3"/>
        <v>829466016.89483213</v>
      </c>
    </row>
    <row r="20" spans="5:9" ht="15.75" customHeight="1" x14ac:dyDescent="0.25">
      <c r="E20" s="43">
        <v>12</v>
      </c>
      <c r="F20" s="71">
        <f t="shared" si="0"/>
        <v>24892128.00481575</v>
      </c>
      <c r="G20" s="71">
        <f t="shared" si="1"/>
        <v>18331198.97337579</v>
      </c>
      <c r="H20" s="71">
        <f t="shared" si="2"/>
        <v>6560929.03143996</v>
      </c>
      <c r="I20" s="71">
        <f t="shared" si="3"/>
        <v>822905087.86339211</v>
      </c>
    </row>
    <row r="21" spans="5:9" ht="15.75" customHeight="1" x14ac:dyDescent="0.25">
      <c r="E21" s="43">
        <v>13</v>
      </c>
      <c r="F21" s="71">
        <f t="shared" si="0"/>
        <v>24892128.00481575</v>
      </c>
      <c r="G21" s="71">
        <f t="shared" si="1"/>
        <v>18186202.441780966</v>
      </c>
      <c r="H21" s="71">
        <f t="shared" si="2"/>
        <v>6705925.563034784</v>
      </c>
      <c r="I21" s="71">
        <f t="shared" si="3"/>
        <v>816199162.30035734</v>
      </c>
    </row>
    <row r="22" spans="5:9" ht="15.75" customHeight="1" x14ac:dyDescent="0.25">
      <c r="E22" s="43">
        <v>14</v>
      </c>
      <c r="F22" s="71">
        <f t="shared" si="0"/>
        <v>24892128.00481575</v>
      </c>
      <c r="G22" s="71">
        <f t="shared" si="1"/>
        <v>18038001.486837897</v>
      </c>
      <c r="H22" s="71">
        <f t="shared" si="2"/>
        <v>6854126.5179778524</v>
      </c>
      <c r="I22" s="71">
        <f t="shared" si="3"/>
        <v>809345035.78237951</v>
      </c>
    </row>
    <row r="23" spans="5:9" ht="15" x14ac:dyDescent="0.25">
      <c r="E23" s="43">
        <v>15</v>
      </c>
      <c r="F23" s="71">
        <f t="shared" si="0"/>
        <v>24892128.00481575</v>
      </c>
      <c r="G23" s="71">
        <f t="shared" si="1"/>
        <v>17886525.290790588</v>
      </c>
      <c r="H23" s="71">
        <f t="shared" si="2"/>
        <v>7005602.7140251622</v>
      </c>
      <c r="I23" s="71">
        <f t="shared" si="3"/>
        <v>802339433.06835437</v>
      </c>
    </row>
    <row r="24" spans="5:9" ht="15" x14ac:dyDescent="0.25">
      <c r="E24" s="43">
        <v>16</v>
      </c>
      <c r="F24" s="71">
        <f t="shared" si="0"/>
        <v>24892128.00481575</v>
      </c>
      <c r="G24" s="71">
        <f t="shared" si="1"/>
        <v>17731701.470810633</v>
      </c>
      <c r="H24" s="71">
        <f t="shared" si="2"/>
        <v>7160426.5340051167</v>
      </c>
      <c r="I24" s="71">
        <f t="shared" si="3"/>
        <v>795179006.5343492</v>
      </c>
    </row>
    <row r="25" spans="5:9" ht="15" x14ac:dyDescent="0.25">
      <c r="E25" s="43">
        <v>17</v>
      </c>
      <c r="F25" s="71">
        <f t="shared" si="0"/>
        <v>24892128.00481575</v>
      </c>
      <c r="G25" s="71">
        <f t="shared" si="1"/>
        <v>17573456.044409119</v>
      </c>
      <c r="H25" s="71">
        <f t="shared" si="2"/>
        <v>7318671.9604066312</v>
      </c>
      <c r="I25" s="71">
        <f t="shared" si="3"/>
        <v>787860334.57394254</v>
      </c>
    </row>
    <row r="26" spans="5:9" ht="15" x14ac:dyDescent="0.25">
      <c r="E26" s="43">
        <v>18</v>
      </c>
      <c r="F26" s="71">
        <f t="shared" si="0"/>
        <v>24892128.00481575</v>
      </c>
      <c r="G26" s="71">
        <f t="shared" si="1"/>
        <v>17411713.394084133</v>
      </c>
      <c r="H26" s="71">
        <f t="shared" si="2"/>
        <v>7480414.6107316166</v>
      </c>
      <c r="I26" s="71">
        <f t="shared" si="3"/>
        <v>780379919.96321094</v>
      </c>
    </row>
    <row r="27" spans="5:9" ht="15" x14ac:dyDescent="0.25">
      <c r="E27" s="43">
        <v>19</v>
      </c>
      <c r="F27" s="71">
        <f t="shared" si="0"/>
        <v>24892128.00481575</v>
      </c>
      <c r="G27" s="71">
        <f t="shared" si="1"/>
        <v>17246396.231186964</v>
      </c>
      <c r="H27" s="71">
        <f t="shared" si="2"/>
        <v>7645731.7736287862</v>
      </c>
      <c r="I27" s="71">
        <f t="shared" si="3"/>
        <v>772734188.18958211</v>
      </c>
    </row>
    <row r="28" spans="5:9" ht="15" x14ac:dyDescent="0.25">
      <c r="E28" s="43">
        <v>20</v>
      </c>
      <c r="F28" s="71">
        <f t="shared" si="0"/>
        <v>24892128.00481575</v>
      </c>
      <c r="G28" s="71">
        <f t="shared" si="1"/>
        <v>17077425.558989767</v>
      </c>
      <c r="H28" s="71">
        <f t="shared" si="2"/>
        <v>7814702.4458259828</v>
      </c>
      <c r="I28" s="71">
        <f t="shared" si="3"/>
        <v>764919485.74375618</v>
      </c>
    </row>
    <row r="29" spans="5:9" ht="15" x14ac:dyDescent="0.25">
      <c r="E29" s="43">
        <v>21</v>
      </c>
      <c r="F29" s="71">
        <f t="shared" si="0"/>
        <v>24892128.00481575</v>
      </c>
      <c r="G29" s="71">
        <f t="shared" si="1"/>
        <v>16904720.634937014</v>
      </c>
      <c r="H29" s="71">
        <f t="shared" si="2"/>
        <v>7987407.3698787354</v>
      </c>
      <c r="I29" s="71">
        <f t="shared" si="3"/>
        <v>756932078.37387741</v>
      </c>
    </row>
    <row r="30" spans="5:9" ht="15" x14ac:dyDescent="0.25">
      <c r="E30" s="43">
        <v>22</v>
      </c>
      <c r="F30" s="71">
        <f t="shared" si="0"/>
        <v>24892128.00481575</v>
      </c>
      <c r="G30" s="71">
        <f t="shared" si="1"/>
        <v>16728198.932062691</v>
      </c>
      <c r="H30" s="71">
        <f t="shared" si="2"/>
        <v>8163929.0727530587</v>
      </c>
      <c r="I30" s="71">
        <f t="shared" si="3"/>
        <v>748768149.30112433</v>
      </c>
    </row>
    <row r="31" spans="5:9" ht="15" x14ac:dyDescent="0.25">
      <c r="E31" s="43">
        <v>23</v>
      </c>
      <c r="F31" s="71">
        <f t="shared" si="0"/>
        <v>24892128.00481575</v>
      </c>
      <c r="G31" s="71">
        <f t="shared" si="1"/>
        <v>16547776.09955485</v>
      </c>
      <c r="H31" s="71">
        <f t="shared" si="2"/>
        <v>8344351.9052609</v>
      </c>
      <c r="I31" s="71">
        <f t="shared" si="3"/>
        <v>740423797.39586341</v>
      </c>
    </row>
    <row r="32" spans="5:9" ht="15" x14ac:dyDescent="0.25">
      <c r="E32" s="43">
        <v>24</v>
      </c>
      <c r="F32" s="71">
        <f t="shared" si="0"/>
        <v>24892128.00481575</v>
      </c>
      <c r="G32" s="71">
        <f t="shared" si="1"/>
        <v>16363365.922448583</v>
      </c>
      <c r="H32" s="71">
        <f t="shared" si="2"/>
        <v>8528762.0823671669</v>
      </c>
      <c r="I32" s="71">
        <f t="shared" si="3"/>
        <v>731895035.31349623</v>
      </c>
    </row>
    <row r="33" spans="5:9" ht="15" x14ac:dyDescent="0.25">
      <c r="E33" s="43">
        <v>25</v>
      </c>
      <c r="F33" s="71">
        <f t="shared" si="0"/>
        <v>24892128.00481575</v>
      </c>
      <c r="G33" s="71">
        <f t="shared" si="1"/>
        <v>16174880.280428268</v>
      </c>
      <c r="H33" s="71">
        <f t="shared" si="2"/>
        <v>8717247.7243874818</v>
      </c>
      <c r="I33" s="71">
        <f t="shared" si="3"/>
        <v>723177787.58910871</v>
      </c>
    </row>
    <row r="34" spans="5:9" ht="15" x14ac:dyDescent="0.25">
      <c r="E34" s="43">
        <v>26</v>
      </c>
      <c r="F34" s="71">
        <f t="shared" si="0"/>
        <v>24892128.00481575</v>
      </c>
      <c r="G34" s="71">
        <f t="shared" si="1"/>
        <v>15982229.105719304</v>
      </c>
      <c r="H34" s="71">
        <f t="shared" si="2"/>
        <v>8909898.8990964461</v>
      </c>
      <c r="I34" s="71">
        <f t="shared" si="3"/>
        <v>714267888.69001222</v>
      </c>
    </row>
    <row r="35" spans="5:9" ht="15" x14ac:dyDescent="0.25">
      <c r="E35" s="43">
        <v>27</v>
      </c>
      <c r="F35" s="71">
        <f t="shared" si="0"/>
        <v>24892128.00481575</v>
      </c>
      <c r="G35" s="71">
        <f t="shared" si="1"/>
        <v>15785320.340049271</v>
      </c>
      <c r="H35" s="71">
        <f t="shared" si="2"/>
        <v>9106807.6647664793</v>
      </c>
      <c r="I35" s="71">
        <f t="shared" si="3"/>
        <v>705161081.02524579</v>
      </c>
    </row>
    <row r="36" spans="5:9" ht="15" x14ac:dyDescent="0.25">
      <c r="E36" s="43">
        <v>28</v>
      </c>
      <c r="F36" s="71">
        <f t="shared" si="0"/>
        <v>24892128.00481575</v>
      </c>
      <c r="G36" s="71">
        <f t="shared" si="1"/>
        <v>15584059.890657933</v>
      </c>
      <c r="H36" s="71">
        <f t="shared" si="2"/>
        <v>9308068.1141578164</v>
      </c>
      <c r="I36" s="71">
        <f t="shared" si="3"/>
        <v>695853012.91108799</v>
      </c>
    </row>
    <row r="37" spans="5:9" ht="15" x14ac:dyDescent="0.25">
      <c r="E37" s="43">
        <v>29</v>
      </c>
      <c r="F37" s="71">
        <f t="shared" si="0"/>
        <v>24892128.00481575</v>
      </c>
      <c r="G37" s="71">
        <f t="shared" si="1"/>
        <v>15378351.585335046</v>
      </c>
      <c r="H37" s="71">
        <f t="shared" si="2"/>
        <v>9513776.4194807038</v>
      </c>
      <c r="I37" s="71">
        <f t="shared" si="3"/>
        <v>686339236.49160731</v>
      </c>
    </row>
    <row r="38" spans="5:9" ht="15" x14ac:dyDescent="0.25">
      <c r="E38" s="43">
        <v>30</v>
      </c>
      <c r="F38" s="71">
        <f t="shared" si="0"/>
        <v>24892128.00481575</v>
      </c>
      <c r="G38" s="71">
        <f t="shared" si="1"/>
        <v>15168097.126464523</v>
      </c>
      <c r="H38" s="71">
        <f t="shared" si="2"/>
        <v>9724030.8783512264</v>
      </c>
      <c r="I38" s="71">
        <f t="shared" si="3"/>
        <v>676615205.6132561</v>
      </c>
    </row>
    <row r="39" spans="5:9" ht="15" x14ac:dyDescent="0.25">
      <c r="E39" s="43">
        <v>31</v>
      </c>
      <c r="F39" s="71">
        <f t="shared" si="0"/>
        <v>24892128.00481575</v>
      </c>
      <c r="G39" s="71">
        <f t="shared" si="1"/>
        <v>14953196.04405296</v>
      </c>
      <c r="H39" s="71">
        <f t="shared" si="2"/>
        <v>9938931.9607627895</v>
      </c>
      <c r="I39" s="71">
        <f t="shared" si="3"/>
        <v>666676273.65249336</v>
      </c>
    </row>
    <row r="40" spans="5:9" ht="15" x14ac:dyDescent="0.25">
      <c r="E40" s="43">
        <v>32</v>
      </c>
      <c r="F40" s="71">
        <f t="shared" si="0"/>
        <v>24892128.00481575</v>
      </c>
      <c r="G40" s="71">
        <f t="shared" si="1"/>
        <v>14733545.647720104</v>
      </c>
      <c r="H40" s="71">
        <f t="shared" si="2"/>
        <v>10158582.357095646</v>
      </c>
      <c r="I40" s="71">
        <f t="shared" si="3"/>
        <v>656517691.29539776</v>
      </c>
    </row>
    <row r="41" spans="5:9" ht="15" x14ac:dyDescent="0.25">
      <c r="E41" s="43">
        <v>33</v>
      </c>
      <c r="F41" s="71">
        <f t="shared" si="0"/>
        <v>24892128.00481575</v>
      </c>
      <c r="G41" s="71">
        <f t="shared" si="1"/>
        <v>14509040.977628291</v>
      </c>
      <c r="H41" s="71">
        <f t="shared" si="2"/>
        <v>10383087.027187459</v>
      </c>
      <c r="I41" s="71">
        <f t="shared" si="3"/>
        <v>646134604.26821029</v>
      </c>
    </row>
    <row r="42" spans="5:9" ht="15" x14ac:dyDescent="0.25">
      <c r="E42" s="43">
        <v>34</v>
      </c>
      <c r="F42" s="71">
        <f t="shared" si="0"/>
        <v>24892128.00481575</v>
      </c>
      <c r="G42" s="71">
        <f t="shared" si="1"/>
        <v>14279574.754327448</v>
      </c>
      <c r="H42" s="71">
        <f t="shared" si="2"/>
        <v>10612553.250488302</v>
      </c>
      <c r="I42" s="71">
        <f t="shared" si="3"/>
        <v>635522051.01772201</v>
      </c>
    </row>
    <row r="43" spans="5:9" ht="15" x14ac:dyDescent="0.25">
      <c r="E43" s="43">
        <v>35</v>
      </c>
      <c r="F43" s="71">
        <f t="shared" si="0"/>
        <v>24892128.00481575</v>
      </c>
      <c r="G43" s="71">
        <f t="shared" si="1"/>
        <v>14045037.327491658</v>
      </c>
      <c r="H43" s="71">
        <f t="shared" si="2"/>
        <v>10847090.677324092</v>
      </c>
      <c r="I43" s="71">
        <f t="shared" si="3"/>
        <v>624674960.34039795</v>
      </c>
    </row>
    <row r="44" spans="5:9" ht="15" x14ac:dyDescent="0.25">
      <c r="E44" s="43">
        <v>36</v>
      </c>
      <c r="F44" s="71">
        <f t="shared" si="0"/>
        <v>24892128.00481575</v>
      </c>
      <c r="G44" s="71">
        <f t="shared" si="1"/>
        <v>13805316.623522796</v>
      </c>
      <c r="H44" s="71">
        <f t="shared" si="2"/>
        <v>11086811.381292954</v>
      </c>
      <c r="I44" s="71">
        <f t="shared" si="3"/>
        <v>613588148.95910501</v>
      </c>
    </row>
    <row r="45" spans="5:9" ht="15" x14ac:dyDescent="0.25">
      <c r="E45" s="43">
        <v>37</v>
      </c>
      <c r="F45" s="71">
        <f t="shared" si="0"/>
        <v>24892128.00481575</v>
      </c>
      <c r="G45" s="71">
        <f t="shared" si="1"/>
        <v>13560298.091996221</v>
      </c>
      <c r="H45" s="71">
        <f t="shared" si="2"/>
        <v>11331829.912819529</v>
      </c>
      <c r="I45" s="71">
        <f t="shared" si="3"/>
        <v>602256319.04628551</v>
      </c>
    </row>
    <row r="46" spans="5:9" ht="15" x14ac:dyDescent="0.25">
      <c r="E46" s="43">
        <v>38</v>
      </c>
      <c r="F46" s="71">
        <f t="shared" si="0"/>
        <v>24892128.00481575</v>
      </c>
      <c r="G46" s="71">
        <f t="shared" si="1"/>
        <v>13309864.650922911</v>
      </c>
      <c r="H46" s="71">
        <f t="shared" si="2"/>
        <v>11582263.353892839</v>
      </c>
      <c r="I46" s="71">
        <f t="shared" si="3"/>
        <v>590674055.69239271</v>
      </c>
    </row>
    <row r="47" spans="5:9" ht="15" x14ac:dyDescent="0.25">
      <c r="E47" s="43">
        <v>39</v>
      </c>
      <c r="F47" s="71">
        <f t="shared" si="0"/>
        <v>24892128.00481575</v>
      </c>
      <c r="G47" s="71">
        <f t="shared" si="1"/>
        <v>13053896.630801879</v>
      </c>
      <c r="H47" s="71">
        <f t="shared" si="2"/>
        <v>11838231.374013871</v>
      </c>
      <c r="I47" s="71">
        <f t="shared" si="3"/>
        <v>578835824.31837881</v>
      </c>
    </row>
    <row r="48" spans="5:9" ht="15" x14ac:dyDescent="0.25">
      <c r="E48" s="43">
        <v>40</v>
      </c>
      <c r="F48" s="71">
        <f t="shared" si="0"/>
        <v>24892128.00481575</v>
      </c>
      <c r="G48" s="71">
        <f t="shared" si="1"/>
        <v>12792271.717436172</v>
      </c>
      <c r="H48" s="71">
        <f t="shared" si="2"/>
        <v>12099856.287379578</v>
      </c>
      <c r="I48" s="71">
        <f t="shared" si="3"/>
        <v>566735968.03099918</v>
      </c>
    </row>
    <row r="49" spans="5:9" ht="15" x14ac:dyDescent="0.25">
      <c r="E49" s="43">
        <v>41</v>
      </c>
      <c r="F49" s="71">
        <f t="shared" si="0"/>
        <v>24892128.00481575</v>
      </c>
      <c r="G49" s="71">
        <f t="shared" si="1"/>
        <v>12524864.893485082</v>
      </c>
      <c r="H49" s="71">
        <f t="shared" si="2"/>
        <v>12367263.111330668</v>
      </c>
      <c r="I49" s="71">
        <f t="shared" si="3"/>
        <v>554368704.91966856</v>
      </c>
    </row>
    <row r="50" spans="5:9" ht="15" x14ac:dyDescent="0.25">
      <c r="E50" s="43">
        <v>42</v>
      </c>
      <c r="F50" s="71">
        <f t="shared" si="0"/>
        <v>24892128.00481575</v>
      </c>
      <c r="G50" s="71">
        <f t="shared" si="1"/>
        <v>12251548.378724676</v>
      </c>
      <c r="H50" s="71">
        <f t="shared" si="2"/>
        <v>12640579.626091074</v>
      </c>
      <c r="I50" s="71">
        <f t="shared" si="3"/>
        <v>541728125.29357743</v>
      </c>
    </row>
    <row r="51" spans="5:9" ht="15" x14ac:dyDescent="0.25">
      <c r="E51" s="43">
        <v>43</v>
      </c>
      <c r="F51" s="71">
        <f t="shared" si="0"/>
        <v>24892128.00481575</v>
      </c>
      <c r="G51" s="71">
        <f t="shared" si="1"/>
        <v>11972191.568988062</v>
      </c>
      <c r="H51" s="71">
        <f t="shared" si="2"/>
        <v>12919936.435827687</v>
      </c>
      <c r="I51" s="71">
        <f t="shared" si="3"/>
        <v>528808188.85774976</v>
      </c>
    </row>
    <row r="52" spans="5:9" ht="15" x14ac:dyDescent="0.25">
      <c r="E52" s="43">
        <v>44</v>
      </c>
      <c r="F52" s="71">
        <f t="shared" si="0"/>
        <v>24892128.00481575</v>
      </c>
      <c r="G52" s="71">
        <f t="shared" si="1"/>
        <v>11686660.97375627</v>
      </c>
      <c r="H52" s="71">
        <f t="shared" si="2"/>
        <v>13205467.031059479</v>
      </c>
      <c r="I52" s="71">
        <f t="shared" si="3"/>
        <v>515602721.82669026</v>
      </c>
    </row>
    <row r="53" spans="5:9" ht="15" x14ac:dyDescent="0.25">
      <c r="E53" s="43">
        <v>45</v>
      </c>
      <c r="F53" s="71">
        <f t="shared" si="0"/>
        <v>24892128.00481575</v>
      </c>
      <c r="G53" s="71">
        <f t="shared" si="1"/>
        <v>11394820.152369855</v>
      </c>
      <c r="H53" s="71">
        <f t="shared" si="2"/>
        <v>13497307.852445895</v>
      </c>
      <c r="I53" s="71">
        <f t="shared" si="3"/>
        <v>502105413.97424436</v>
      </c>
    </row>
    <row r="54" spans="5:9" ht="15" x14ac:dyDescent="0.25">
      <c r="E54" s="43">
        <v>46</v>
      </c>
      <c r="F54" s="71">
        <f t="shared" si="0"/>
        <v>24892128.00481575</v>
      </c>
      <c r="G54" s="71">
        <f t="shared" si="1"/>
        <v>11096529.648830801</v>
      </c>
      <c r="H54" s="71">
        <f t="shared" si="2"/>
        <v>13795598.355984949</v>
      </c>
      <c r="I54" s="71">
        <f t="shared" si="3"/>
        <v>488309815.61825943</v>
      </c>
    </row>
    <row r="55" spans="5:9" ht="15" x14ac:dyDescent="0.25">
      <c r="E55" s="43">
        <v>47</v>
      </c>
      <c r="F55" s="71">
        <f t="shared" si="0"/>
        <v>24892128.00481575</v>
      </c>
      <c r="G55" s="71">
        <f t="shared" si="1"/>
        <v>10791646.925163534</v>
      </c>
      <c r="H55" s="71">
        <f t="shared" si="2"/>
        <v>14100481.079652216</v>
      </c>
      <c r="I55" s="71">
        <f t="shared" si="3"/>
        <v>474209334.53860724</v>
      </c>
    </row>
    <row r="56" spans="5:9" ht="15" x14ac:dyDescent="0.25">
      <c r="E56" s="43">
        <v>48</v>
      </c>
      <c r="F56" s="71">
        <f t="shared" si="0"/>
        <v>24892128.00481575</v>
      </c>
      <c r="G56" s="71">
        <f t="shared" si="1"/>
        <v>10480026.293303221</v>
      </c>
      <c r="H56" s="71">
        <f t="shared" si="2"/>
        <v>14412101.711512528</v>
      </c>
      <c r="I56" s="71">
        <f t="shared" si="3"/>
        <v>459797232.82709473</v>
      </c>
    </row>
    <row r="57" spans="5:9" ht="15" x14ac:dyDescent="0.25">
      <c r="E57" s="43">
        <v>49</v>
      </c>
      <c r="F57" s="71">
        <f t="shared" si="0"/>
        <v>24892128.00481575</v>
      </c>
      <c r="G57" s="71">
        <f t="shared" si="1"/>
        <v>10161518.845478794</v>
      </c>
      <c r="H57" s="71">
        <f t="shared" si="2"/>
        <v>14730609.159336956</v>
      </c>
      <c r="I57" s="71">
        <f t="shared" si="3"/>
        <v>445066623.66775775</v>
      </c>
    </row>
    <row r="58" spans="5:9" ht="15" x14ac:dyDescent="0.25">
      <c r="E58" s="43">
        <v>50</v>
      </c>
      <c r="F58" s="71">
        <f t="shared" si="0"/>
        <v>24892128.00481575</v>
      </c>
      <c r="G58" s="71">
        <f t="shared" si="1"/>
        <v>9835972.3830574472</v>
      </c>
      <c r="H58" s="71">
        <f t="shared" si="2"/>
        <v>15056155.621758303</v>
      </c>
      <c r="I58" s="71">
        <f t="shared" si="3"/>
        <v>430010468.04599947</v>
      </c>
    </row>
    <row r="59" spans="5:9" ht="15" x14ac:dyDescent="0.25">
      <c r="E59" s="43">
        <v>51</v>
      </c>
      <c r="F59" s="71">
        <f t="shared" si="0"/>
        <v>24892128.00481575</v>
      </c>
      <c r="G59" s="71">
        <f t="shared" si="1"/>
        <v>9503231.3438165896</v>
      </c>
      <c r="H59" s="71">
        <f t="shared" si="2"/>
        <v>15388896.66099916</v>
      </c>
      <c r="I59" s="71">
        <f t="shared" si="3"/>
        <v>414621571.38500029</v>
      </c>
    </row>
    <row r="60" spans="5:9" ht="15" x14ac:dyDescent="0.25">
      <c r="E60" s="43">
        <v>52</v>
      </c>
      <c r="F60" s="71">
        <f t="shared" si="0"/>
        <v>24892128.00481575</v>
      </c>
      <c r="G60" s="71">
        <f t="shared" si="1"/>
        <v>9163136.7276085075</v>
      </c>
      <c r="H60" s="71">
        <f t="shared" si="2"/>
        <v>15728991.277207242</v>
      </c>
      <c r="I60" s="71">
        <f t="shared" si="3"/>
        <v>398892580.10779303</v>
      </c>
    </row>
    <row r="61" spans="5:9" ht="15" x14ac:dyDescent="0.25">
      <c r="E61" s="43">
        <v>53</v>
      </c>
      <c r="F61" s="71">
        <f t="shared" si="0"/>
        <v>24892128.00481575</v>
      </c>
      <c r="G61" s="71">
        <f t="shared" si="1"/>
        <v>8815526.0203822274</v>
      </c>
      <c r="H61" s="71">
        <f t="shared" si="2"/>
        <v>16076601.984433522</v>
      </c>
      <c r="I61" s="71">
        <f t="shared" si="3"/>
        <v>382815978.1233595</v>
      </c>
    </row>
    <row r="62" spans="5:9" ht="15" x14ac:dyDescent="0.25">
      <c r="E62" s="43">
        <v>54</v>
      </c>
      <c r="F62" s="71">
        <f t="shared" si="0"/>
        <v>24892128.00481575</v>
      </c>
      <c r="G62" s="71">
        <f t="shared" si="1"/>
        <v>8460233.1165262461</v>
      </c>
      <c r="H62" s="71">
        <f t="shared" si="2"/>
        <v>16431894.888289504</v>
      </c>
      <c r="I62" s="71">
        <f t="shared" si="3"/>
        <v>366384083.23506999</v>
      </c>
    </row>
    <row r="63" spans="5:9" ht="15" x14ac:dyDescent="0.25">
      <c r="E63" s="43">
        <v>55</v>
      </c>
      <c r="F63" s="71">
        <f t="shared" si="0"/>
        <v>24892128.00481575</v>
      </c>
      <c r="G63" s="71">
        <f t="shared" si="1"/>
        <v>8097088.2394950474</v>
      </c>
      <c r="H63" s="71">
        <f t="shared" si="2"/>
        <v>16795039.765320703</v>
      </c>
      <c r="I63" s="71">
        <f t="shared" si="3"/>
        <v>349589043.46974927</v>
      </c>
    </row>
    <row r="64" spans="5:9" ht="15" x14ac:dyDescent="0.25">
      <c r="E64" s="43">
        <v>56</v>
      </c>
      <c r="F64" s="71">
        <f t="shared" si="0"/>
        <v>24892128.00481575</v>
      </c>
      <c r="G64" s="71">
        <f t="shared" si="1"/>
        <v>7725917.8606814593</v>
      </c>
      <c r="H64" s="71">
        <f t="shared" si="2"/>
        <v>17166210.144134291</v>
      </c>
      <c r="I64" s="71">
        <f t="shared" si="3"/>
        <v>332422833.32561499</v>
      </c>
    </row>
    <row r="65" spans="5:9" ht="15" x14ac:dyDescent="0.25">
      <c r="E65" s="43">
        <v>57</v>
      </c>
      <c r="F65" s="71">
        <f t="shared" si="0"/>
        <v>24892128.00481575</v>
      </c>
      <c r="G65" s="71">
        <f t="shared" si="1"/>
        <v>7346544.6164960917</v>
      </c>
      <c r="H65" s="71">
        <f t="shared" si="2"/>
        <v>17545583.388319656</v>
      </c>
      <c r="I65" s="71">
        <f t="shared" si="3"/>
        <v>314877249.93729532</v>
      </c>
    </row>
    <row r="66" spans="5:9" ht="15" x14ac:dyDescent="0.25">
      <c r="E66" s="43">
        <v>58</v>
      </c>
      <c r="F66" s="71">
        <f t="shared" si="0"/>
        <v>24892128.00481575</v>
      </c>
      <c r="G66" s="71">
        <f t="shared" si="1"/>
        <v>6958787.223614227</v>
      </c>
      <c r="H66" s="71">
        <f t="shared" si="2"/>
        <v>17933340.781201523</v>
      </c>
      <c r="I66" s="71">
        <f t="shared" si="3"/>
        <v>296943909.15609378</v>
      </c>
    </row>
    <row r="67" spans="5:9" ht="15" x14ac:dyDescent="0.25">
      <c r="E67" s="43">
        <v>59</v>
      </c>
      <c r="F67" s="71">
        <f t="shared" si="0"/>
        <v>24892128.00481575</v>
      </c>
      <c r="G67" s="71">
        <f t="shared" si="1"/>
        <v>6562460.3923496725</v>
      </c>
      <c r="H67" s="71">
        <f t="shared" si="2"/>
        <v>18329667.612466078</v>
      </c>
      <c r="I67" s="71">
        <f t="shared" si="3"/>
        <v>278614241.54362768</v>
      </c>
    </row>
    <row r="68" spans="5:9" ht="15" x14ac:dyDescent="0.25">
      <c r="E68" s="43">
        <v>60</v>
      </c>
      <c r="F68" s="71">
        <f t="shared" si="0"/>
        <v>24892128.00481575</v>
      </c>
      <c r="G68" s="71">
        <f t="shared" si="1"/>
        <v>6157374.7381141726</v>
      </c>
      <c r="H68" s="71">
        <f t="shared" si="2"/>
        <v>18734753.266701579</v>
      </c>
      <c r="I68" s="71">
        <f t="shared" si="3"/>
        <v>259879488.2769261</v>
      </c>
    </row>
    <row r="69" spans="5:9" ht="15" x14ac:dyDescent="0.25">
      <c r="E69" s="43">
        <v>61</v>
      </c>
      <c r="F69" s="71">
        <f t="shared" si="0"/>
        <v>24892128.00481575</v>
      </c>
      <c r="G69" s="71">
        <f t="shared" si="1"/>
        <v>5743336.690920067</v>
      </c>
      <c r="H69" s="71">
        <f t="shared" si="2"/>
        <v>19148791.313895684</v>
      </c>
      <c r="I69" s="71">
        <f t="shared" si="3"/>
        <v>240730696.96303043</v>
      </c>
    </row>
    <row r="70" spans="5:9" ht="15" x14ac:dyDescent="0.25">
      <c r="E70" s="43">
        <v>62</v>
      </c>
      <c r="F70" s="71">
        <f t="shared" si="0"/>
        <v>24892128.00481575</v>
      </c>
      <c r="G70" s="71">
        <f t="shared" si="1"/>
        <v>5320148.4028829727</v>
      </c>
      <c r="H70" s="71">
        <f t="shared" si="2"/>
        <v>19571979.601932779</v>
      </c>
      <c r="I70" s="71">
        <f t="shared" si="3"/>
        <v>221158717.36109763</v>
      </c>
    </row>
    <row r="71" spans="5:9" ht="15" x14ac:dyDescent="0.25">
      <c r="E71" s="43">
        <v>63</v>
      </c>
      <c r="F71" s="71">
        <f t="shared" si="0"/>
        <v>24892128.00481575</v>
      </c>
      <c r="G71" s="71">
        <f t="shared" si="1"/>
        <v>4887607.6536802584</v>
      </c>
      <c r="H71" s="71">
        <f t="shared" si="2"/>
        <v>20004520.351135492</v>
      </c>
      <c r="I71" s="71">
        <f t="shared" si="3"/>
        <v>201154197.00996214</v>
      </c>
    </row>
    <row r="72" spans="5:9" ht="15" x14ac:dyDescent="0.25">
      <c r="E72" s="43">
        <v>64</v>
      </c>
      <c r="F72" s="71">
        <f t="shared" si="0"/>
        <v>24892128.00481575</v>
      </c>
      <c r="G72" s="71">
        <f t="shared" si="1"/>
        <v>4445507.753920164</v>
      </c>
      <c r="H72" s="71">
        <f t="shared" si="2"/>
        <v>20446620.250895586</v>
      </c>
      <c r="I72" s="71">
        <f t="shared" si="3"/>
        <v>180707576.75906655</v>
      </c>
    </row>
    <row r="73" spans="5:9" ht="15" x14ac:dyDescent="0.25">
      <c r="E73" s="43">
        <v>65</v>
      </c>
      <c r="F73" s="71">
        <f t="shared" si="0"/>
        <v>24892128.00481575</v>
      </c>
      <c r="G73" s="71">
        <f t="shared" si="1"/>
        <v>3993637.446375371</v>
      </c>
      <c r="H73" s="71">
        <f t="shared" si="2"/>
        <v>20898490.55844038</v>
      </c>
      <c r="I73" s="71">
        <f t="shared" si="3"/>
        <v>159809086.20062616</v>
      </c>
    </row>
    <row r="74" spans="5:9" ht="15" x14ac:dyDescent="0.25">
      <c r="E74" s="43">
        <v>66</v>
      </c>
      <c r="F74" s="71">
        <f t="shared" si="0"/>
        <v>24892128.00481575</v>
      </c>
      <c r="G74" s="71">
        <f t="shared" si="1"/>
        <v>3531780.8050338384</v>
      </c>
      <c r="H74" s="71">
        <f t="shared" si="2"/>
        <v>21360347.19978191</v>
      </c>
      <c r="I74" s="71">
        <f t="shared" si="3"/>
        <v>138448739.00084424</v>
      </c>
    </row>
    <row r="75" spans="5:9" ht="15" x14ac:dyDescent="0.25">
      <c r="E75" s="43">
        <v>67</v>
      </c>
      <c r="F75" s="71">
        <f t="shared" si="0"/>
        <v>24892128.00481575</v>
      </c>
      <c r="G75" s="71">
        <f t="shared" si="1"/>
        <v>3059717.131918658</v>
      </c>
      <c r="H75" s="71">
        <f t="shared" si="2"/>
        <v>21832410.872897092</v>
      </c>
      <c r="I75" s="71">
        <f t="shared" si="3"/>
        <v>116616328.12794715</v>
      </c>
    </row>
    <row r="76" spans="5:9" ht="15" x14ac:dyDescent="0.25">
      <c r="E76" s="43">
        <v>68</v>
      </c>
      <c r="F76" s="71">
        <f t="shared" si="0"/>
        <v>24892128.00481575</v>
      </c>
      <c r="G76" s="71">
        <f t="shared" si="1"/>
        <v>2577220.851627632</v>
      </c>
      <c r="H76" s="71">
        <f t="shared" si="2"/>
        <v>22314907.153188117</v>
      </c>
      <c r="I76" s="71">
        <f t="shared" si="3"/>
        <v>94301420.974759042</v>
      </c>
    </row>
    <row r="77" spans="5:9" ht="15" x14ac:dyDescent="0.25">
      <c r="E77" s="43">
        <v>69</v>
      </c>
      <c r="F77" s="71">
        <f t="shared" si="0"/>
        <v>24892128.00481575</v>
      </c>
      <c r="G77" s="71">
        <f t="shared" si="1"/>
        <v>2084061.403542175</v>
      </c>
      <c r="H77" s="71">
        <f t="shared" si="2"/>
        <v>22808066.601273574</v>
      </c>
      <c r="I77" s="71">
        <f t="shared" si="3"/>
        <v>71493354.373485476</v>
      </c>
    </row>
    <row r="78" spans="5:9" ht="15" x14ac:dyDescent="0.25">
      <c r="E78" s="43">
        <v>70</v>
      </c>
      <c r="F78" s="71">
        <f t="shared" si="0"/>
        <v>24892128.00481575</v>
      </c>
      <c r="G78" s="71">
        <f t="shared" si="1"/>
        <v>1580003.131654029</v>
      </c>
      <c r="H78" s="71">
        <f t="shared" si="2"/>
        <v>23312124.873161722</v>
      </c>
      <c r="I78" s="71">
        <f t="shared" si="3"/>
        <v>48181229.500323758</v>
      </c>
    </row>
    <row r="79" spans="5:9" ht="15" x14ac:dyDescent="0.25">
      <c r="E79" s="43">
        <v>71</v>
      </c>
      <c r="F79" s="71">
        <f t="shared" si="0"/>
        <v>24892128.00481575</v>
      </c>
      <c r="G79" s="71">
        <f t="shared" si="1"/>
        <v>1064805.1719571552</v>
      </c>
      <c r="H79" s="71">
        <f t="shared" si="2"/>
        <v>23827322.832858596</v>
      </c>
      <c r="I79" s="71">
        <f t="shared" si="3"/>
        <v>24353906.667465162</v>
      </c>
    </row>
    <row r="80" spans="5:9" ht="15" x14ac:dyDescent="0.25">
      <c r="E80" s="43">
        <v>72</v>
      </c>
      <c r="F80" s="71">
        <f t="shared" si="0"/>
        <v>24892128.00481575</v>
      </c>
      <c r="G80" s="71">
        <f t="shared" si="1"/>
        <v>538221.33735098015</v>
      </c>
      <c r="H80" s="71">
        <f t="shared" si="2"/>
        <v>24353906.66746477</v>
      </c>
      <c r="I80" s="71">
        <f t="shared" si="3"/>
        <v>3.9115548133850098E-7</v>
      </c>
    </row>
  </sheetData>
  <mergeCells count="1">
    <mergeCell ref="G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C18"/>
  <sheetViews>
    <sheetView workbookViewId="0">
      <selection activeCell="F8" sqref="F8"/>
    </sheetView>
  </sheetViews>
  <sheetFormatPr baseColWidth="10" defaultColWidth="12.5703125" defaultRowHeight="15.75" customHeight="1" x14ac:dyDescent="0.2"/>
  <cols>
    <col min="2" max="2" width="25.140625" customWidth="1"/>
    <col min="3" max="3" width="16.5703125" bestFit="1" customWidth="1"/>
  </cols>
  <sheetData>
    <row r="3" spans="2:3" ht="15.75" customHeight="1" x14ac:dyDescent="0.25">
      <c r="B3" s="53" t="s">
        <v>261</v>
      </c>
      <c r="C3" s="55"/>
    </row>
    <row r="4" spans="2:3" x14ac:dyDescent="0.2">
      <c r="B4" s="3" t="s">
        <v>262</v>
      </c>
      <c r="C4" s="74">
        <f>243*Datos!G27*3*4</f>
        <v>303185766.17430001</v>
      </c>
    </row>
    <row r="5" spans="2:3" x14ac:dyDescent="0.2">
      <c r="B5" s="3" t="s">
        <v>263</v>
      </c>
      <c r="C5" s="74">
        <f>243*Datos!G26*3*4</f>
        <v>333422401.97429991</v>
      </c>
    </row>
    <row r="6" spans="2:3" x14ac:dyDescent="0.2">
      <c r="B6" s="3" t="s">
        <v>264</v>
      </c>
      <c r="C6" s="74">
        <f>Datos!D114</f>
        <v>5000000</v>
      </c>
    </row>
    <row r="7" spans="2:3" x14ac:dyDescent="0.2">
      <c r="B7" s="3" t="s">
        <v>176</v>
      </c>
      <c r="C7" s="74">
        <f>Datos!D113</f>
        <v>7000000</v>
      </c>
    </row>
    <row r="8" spans="2:3" x14ac:dyDescent="0.2">
      <c r="B8" s="3" t="s">
        <v>265</v>
      </c>
      <c r="C8" s="74">
        <f>SUM(Datos!F94:F112)</f>
        <v>57000000</v>
      </c>
    </row>
    <row r="9" spans="2:3" x14ac:dyDescent="0.2">
      <c r="B9" s="3" t="s">
        <v>180</v>
      </c>
      <c r="C9" s="74">
        <f>Datos!D115</f>
        <v>2000000</v>
      </c>
    </row>
    <row r="10" spans="2:3" x14ac:dyDescent="0.2">
      <c r="B10" s="3" t="s">
        <v>266</v>
      </c>
      <c r="C10" s="74">
        <f>Amortización!C5</f>
        <v>24892128.00481575</v>
      </c>
    </row>
    <row r="11" spans="2:3" x14ac:dyDescent="0.2">
      <c r="B11" s="3" t="s">
        <v>267</v>
      </c>
      <c r="C11" s="74">
        <f>Datos!G90/12</f>
        <v>17038975.75</v>
      </c>
    </row>
    <row r="12" spans="2:3" x14ac:dyDescent="0.2">
      <c r="B12" s="3" t="s">
        <v>268</v>
      </c>
      <c r="C12" s="74">
        <f>Datos!G123/12</f>
        <v>6817708.333333333</v>
      </c>
    </row>
    <row r="13" spans="2:3" x14ac:dyDescent="0.2">
      <c r="B13" s="27" t="s">
        <v>83</v>
      </c>
      <c r="C13" s="75">
        <f>SUM(C4:C12)</f>
        <v>756356980.23674893</v>
      </c>
    </row>
    <row r="14" spans="2:3" ht="15.75" customHeight="1" x14ac:dyDescent="0.2">
      <c r="C14" s="76"/>
    </row>
    <row r="15" spans="2:3" x14ac:dyDescent="0.2">
      <c r="B15" s="7" t="s">
        <v>269</v>
      </c>
      <c r="C15" s="74">
        <f>243*6*4</f>
        <v>5832</v>
      </c>
    </row>
    <row r="16" spans="2:3" x14ac:dyDescent="0.2">
      <c r="B16" s="7" t="s">
        <v>270</v>
      </c>
      <c r="C16" s="74">
        <f>C13/C15</f>
        <v>129690.8402326387</v>
      </c>
    </row>
    <row r="17" spans="2:3" x14ac:dyDescent="0.2">
      <c r="B17" s="7" t="s">
        <v>271</v>
      </c>
      <c r="C17" s="74">
        <f>Datos!G27+C16</f>
        <v>233664.01107430537</v>
      </c>
    </row>
    <row r="18" spans="2:3" x14ac:dyDescent="0.2">
      <c r="B18" s="7" t="s">
        <v>272</v>
      </c>
      <c r="C18" s="74">
        <f>Datos!G26+C16</f>
        <v>244033.22774097201</v>
      </c>
    </row>
  </sheetData>
  <mergeCells count="1">
    <mergeCell ref="B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3:E78"/>
  <sheetViews>
    <sheetView tabSelected="1" topLeftCell="A67" workbookViewId="0">
      <selection activeCell="E81" sqref="E81"/>
    </sheetView>
  </sheetViews>
  <sheetFormatPr baseColWidth="10" defaultColWidth="12.5703125" defaultRowHeight="15.75" customHeight="1" x14ac:dyDescent="0.2"/>
  <cols>
    <col min="2" max="2" width="4.85546875" customWidth="1"/>
    <col min="3" max="3" width="18.140625" bestFit="1" customWidth="1"/>
    <col min="4" max="4" width="16.5703125" bestFit="1" customWidth="1"/>
    <col min="5" max="5" width="18.140625" bestFit="1" customWidth="1"/>
  </cols>
  <sheetData>
    <row r="3" spans="2:5" ht="15.75" customHeight="1" x14ac:dyDescent="0.25">
      <c r="B3" s="44" t="s">
        <v>273</v>
      </c>
      <c r="C3" s="44" t="s">
        <v>274</v>
      </c>
      <c r="D3" s="44" t="s">
        <v>275</v>
      </c>
      <c r="E3" s="44" t="s">
        <v>276</v>
      </c>
    </row>
    <row r="4" spans="2:5" x14ac:dyDescent="0.2">
      <c r="B4" s="3">
        <v>1</v>
      </c>
      <c r="C4" s="65">
        <v>0</v>
      </c>
      <c r="D4" s="65">
        <f>Datos!D2</f>
        <v>892916478.75</v>
      </c>
      <c r="E4" s="74">
        <f t="shared" ref="E4:E75" si="0">C4-D4</f>
        <v>-892916478.75</v>
      </c>
    </row>
    <row r="5" spans="2:5" x14ac:dyDescent="0.2">
      <c r="B5" s="3">
        <v>2</v>
      </c>
      <c r="C5" s="65">
        <v>0</v>
      </c>
      <c r="D5" s="74">
        <f>Amortización!C5+Costos!C9+Costos!C7+Costos!C12</f>
        <v>40709836.338149086</v>
      </c>
      <c r="E5" s="74">
        <f t="shared" si="0"/>
        <v>-40709836.338149086</v>
      </c>
    </row>
    <row r="6" spans="2:5" x14ac:dyDescent="0.2">
      <c r="B6" s="3">
        <v>3</v>
      </c>
      <c r="C6" s="65">
        <v>0</v>
      </c>
      <c r="D6" s="74">
        <f>D5</f>
        <v>40709836.338149086</v>
      </c>
      <c r="E6" s="74">
        <f t="shared" si="0"/>
        <v>-40709836.338149086</v>
      </c>
    </row>
    <row r="7" spans="2:5" x14ac:dyDescent="0.2">
      <c r="B7" s="3">
        <v>4</v>
      </c>
      <c r="C7" s="65">
        <v>0</v>
      </c>
      <c r="D7" s="74">
        <f>D5</f>
        <v>40709836.338149086</v>
      </c>
      <c r="E7" s="74">
        <f t="shared" si="0"/>
        <v>-40709836.338149086</v>
      </c>
    </row>
    <row r="8" spans="2:5" x14ac:dyDescent="0.2">
      <c r="B8" s="3">
        <v>5</v>
      </c>
      <c r="C8" s="65">
        <v>0</v>
      </c>
      <c r="D8" s="74">
        <f>Costos!C13</f>
        <v>756356980.23674893</v>
      </c>
      <c r="E8" s="74">
        <f t="shared" si="0"/>
        <v>-756356980.23674893</v>
      </c>
    </row>
    <row r="9" spans="2:5" x14ac:dyDescent="0.2">
      <c r="B9" s="3">
        <v>6</v>
      </c>
      <c r="C9" s="77">
        <f>(Costos!C15/2)*Costos!C16+(Costos!C15/2)*Costos!C17</f>
        <v>1059542746.4110489</v>
      </c>
      <c r="D9" s="74">
        <f>D8</f>
        <v>756356980.23674893</v>
      </c>
      <c r="E9" s="74">
        <f t="shared" si="0"/>
        <v>303185766.17429996</v>
      </c>
    </row>
    <row r="10" spans="2:5" x14ac:dyDescent="0.2">
      <c r="B10" s="3">
        <v>7</v>
      </c>
      <c r="C10" s="74">
        <f>(Costos!C15/2)*Costos!C16+(Costos!C15/2)*Costos!C17</f>
        <v>1059542746.4110489</v>
      </c>
      <c r="D10" s="74">
        <f>D8</f>
        <v>756356980.23674893</v>
      </c>
      <c r="E10" s="74">
        <f t="shared" si="0"/>
        <v>303185766.17429996</v>
      </c>
    </row>
    <row r="11" spans="2:5" x14ac:dyDescent="0.2">
      <c r="B11" s="3">
        <v>8</v>
      </c>
      <c r="C11" s="74">
        <f t="shared" ref="C11:D11" si="1">C10</f>
        <v>1059542746.4110489</v>
      </c>
      <c r="D11" s="74">
        <f t="shared" si="1"/>
        <v>756356980.23674893</v>
      </c>
      <c r="E11" s="74">
        <f t="shared" si="0"/>
        <v>303185766.17429996</v>
      </c>
    </row>
    <row r="12" spans="2:5" x14ac:dyDescent="0.2">
      <c r="B12" s="3">
        <v>9</v>
      </c>
      <c r="C12" s="74">
        <f t="shared" ref="C12:D12" si="2">C10</f>
        <v>1059542746.4110489</v>
      </c>
      <c r="D12" s="74">
        <f t="shared" si="2"/>
        <v>756356980.23674893</v>
      </c>
      <c r="E12" s="74">
        <f t="shared" si="0"/>
        <v>303185766.17429996</v>
      </c>
    </row>
    <row r="13" spans="2:5" x14ac:dyDescent="0.2">
      <c r="B13" s="3">
        <v>10</v>
      </c>
      <c r="C13" s="74">
        <f t="shared" ref="C13:D13" si="3">C12</f>
        <v>1059542746.4110489</v>
      </c>
      <c r="D13" s="74">
        <f t="shared" si="3"/>
        <v>756356980.23674893</v>
      </c>
      <c r="E13" s="74">
        <f t="shared" si="0"/>
        <v>303185766.17429996</v>
      </c>
    </row>
    <row r="14" spans="2:5" x14ac:dyDescent="0.2">
      <c r="B14" s="3">
        <v>11</v>
      </c>
      <c r="C14" s="74">
        <f t="shared" ref="C14:D14" si="4">C12</f>
        <v>1059542746.4110489</v>
      </c>
      <c r="D14" s="74">
        <f t="shared" si="4"/>
        <v>756356980.23674893</v>
      </c>
      <c r="E14" s="74">
        <f t="shared" si="0"/>
        <v>303185766.17429996</v>
      </c>
    </row>
    <row r="15" spans="2:5" x14ac:dyDescent="0.2">
      <c r="B15" s="3">
        <v>12</v>
      </c>
      <c r="C15" s="74">
        <f t="shared" ref="C15:D15" si="5">C14</f>
        <v>1059542746.4110489</v>
      </c>
      <c r="D15" s="74">
        <f t="shared" si="5"/>
        <v>756356980.23674893</v>
      </c>
      <c r="E15" s="74">
        <f t="shared" si="0"/>
        <v>303185766.17429996</v>
      </c>
    </row>
    <row r="16" spans="2:5" x14ac:dyDescent="0.2">
      <c r="B16" s="3">
        <v>13</v>
      </c>
      <c r="C16" s="74">
        <f t="shared" ref="C16:D16" si="6">C14</f>
        <v>1059542746.4110489</v>
      </c>
      <c r="D16" s="74">
        <f t="shared" si="6"/>
        <v>756356980.23674893</v>
      </c>
      <c r="E16" s="74">
        <f t="shared" si="0"/>
        <v>303185766.17429996</v>
      </c>
    </row>
    <row r="17" spans="2:5" x14ac:dyDescent="0.2">
      <c r="B17" s="3">
        <v>14</v>
      </c>
      <c r="C17" s="74">
        <f t="shared" ref="C17:D17" si="7">C16</f>
        <v>1059542746.4110489</v>
      </c>
      <c r="D17" s="74">
        <f t="shared" si="7"/>
        <v>756356980.23674893</v>
      </c>
      <c r="E17" s="74">
        <f t="shared" si="0"/>
        <v>303185766.17429996</v>
      </c>
    </row>
    <row r="18" spans="2:5" x14ac:dyDescent="0.2">
      <c r="B18" s="3">
        <v>15</v>
      </c>
      <c r="C18" s="74">
        <f t="shared" ref="C18:D18" si="8">C16</f>
        <v>1059542746.4110489</v>
      </c>
      <c r="D18" s="74">
        <f t="shared" si="8"/>
        <v>756356980.23674893</v>
      </c>
      <c r="E18" s="74">
        <f t="shared" si="0"/>
        <v>303185766.17429996</v>
      </c>
    </row>
    <row r="19" spans="2:5" x14ac:dyDescent="0.2">
      <c r="B19" s="3">
        <v>16</v>
      </c>
      <c r="C19" s="74">
        <f t="shared" ref="C19:D19" si="9">C18</f>
        <v>1059542746.4110489</v>
      </c>
      <c r="D19" s="74">
        <f t="shared" si="9"/>
        <v>756356980.23674893</v>
      </c>
      <c r="E19" s="74">
        <f t="shared" si="0"/>
        <v>303185766.17429996</v>
      </c>
    </row>
    <row r="20" spans="2:5" x14ac:dyDescent="0.2">
      <c r="B20" s="3">
        <v>17</v>
      </c>
      <c r="C20" s="74">
        <f t="shared" ref="C20:D20" si="10">C18</f>
        <v>1059542746.4110489</v>
      </c>
      <c r="D20" s="74">
        <f t="shared" si="10"/>
        <v>756356980.23674893</v>
      </c>
      <c r="E20" s="74">
        <f t="shared" si="0"/>
        <v>303185766.17429996</v>
      </c>
    </row>
    <row r="21" spans="2:5" x14ac:dyDescent="0.2">
      <c r="B21" s="3">
        <v>18</v>
      </c>
      <c r="C21" s="74">
        <f t="shared" ref="C21:D21" si="11">C20</f>
        <v>1059542746.4110489</v>
      </c>
      <c r="D21" s="74">
        <f t="shared" si="11"/>
        <v>756356980.23674893</v>
      </c>
      <c r="E21" s="74">
        <f t="shared" si="0"/>
        <v>303185766.17429996</v>
      </c>
    </row>
    <row r="22" spans="2:5" x14ac:dyDescent="0.2">
      <c r="B22" s="3">
        <v>19</v>
      </c>
      <c r="C22" s="74">
        <f t="shared" ref="C22:D22" si="12">C20</f>
        <v>1059542746.4110489</v>
      </c>
      <c r="D22" s="74">
        <f t="shared" si="12"/>
        <v>756356980.23674893</v>
      </c>
      <c r="E22" s="74">
        <f t="shared" si="0"/>
        <v>303185766.17429996</v>
      </c>
    </row>
    <row r="23" spans="2:5" ht="12.75" x14ac:dyDescent="0.2">
      <c r="B23" s="3">
        <v>20</v>
      </c>
      <c r="C23" s="74">
        <f t="shared" ref="C23:D23" si="13">C22</f>
        <v>1059542746.4110489</v>
      </c>
      <c r="D23" s="74">
        <f t="shared" si="13"/>
        <v>756356980.23674893</v>
      </c>
      <c r="E23" s="74">
        <f t="shared" si="0"/>
        <v>303185766.17429996</v>
      </c>
    </row>
    <row r="24" spans="2:5" ht="12.75" x14ac:dyDescent="0.2">
      <c r="B24" s="3">
        <v>21</v>
      </c>
      <c r="C24" s="74">
        <f t="shared" ref="C24:D24" si="14">C22</f>
        <v>1059542746.4110489</v>
      </c>
      <c r="D24" s="74">
        <f t="shared" si="14"/>
        <v>756356980.23674893</v>
      </c>
      <c r="E24" s="74">
        <f t="shared" si="0"/>
        <v>303185766.17429996</v>
      </c>
    </row>
    <row r="25" spans="2:5" ht="12.75" x14ac:dyDescent="0.2">
      <c r="B25" s="3">
        <v>22</v>
      </c>
      <c r="C25" s="74">
        <f t="shared" ref="C25:D25" si="15">C24</f>
        <v>1059542746.4110489</v>
      </c>
      <c r="D25" s="74">
        <f t="shared" si="15"/>
        <v>756356980.23674893</v>
      </c>
      <c r="E25" s="74">
        <f t="shared" si="0"/>
        <v>303185766.17429996</v>
      </c>
    </row>
    <row r="26" spans="2:5" ht="12.75" x14ac:dyDescent="0.2">
      <c r="B26" s="3">
        <v>23</v>
      </c>
      <c r="C26" s="74">
        <f t="shared" ref="C26:D26" si="16">C24</f>
        <v>1059542746.4110489</v>
      </c>
      <c r="D26" s="74">
        <f t="shared" si="16"/>
        <v>756356980.23674893</v>
      </c>
      <c r="E26" s="74">
        <f t="shared" si="0"/>
        <v>303185766.17429996</v>
      </c>
    </row>
    <row r="27" spans="2:5" ht="12.75" x14ac:dyDescent="0.2">
      <c r="B27" s="3">
        <v>24</v>
      </c>
      <c r="C27" s="74">
        <f t="shared" ref="C27:D27" si="17">C26</f>
        <v>1059542746.4110489</v>
      </c>
      <c r="D27" s="74">
        <f t="shared" si="17"/>
        <v>756356980.23674893</v>
      </c>
      <c r="E27" s="74">
        <f t="shared" si="0"/>
        <v>303185766.17429996</v>
      </c>
    </row>
    <row r="28" spans="2:5" ht="12.75" x14ac:dyDescent="0.2">
      <c r="B28" s="3">
        <v>25</v>
      </c>
      <c r="C28" s="74">
        <f t="shared" ref="C28:D28" si="18">C26</f>
        <v>1059542746.4110489</v>
      </c>
      <c r="D28" s="74">
        <f t="shared" si="18"/>
        <v>756356980.23674893</v>
      </c>
      <c r="E28" s="74">
        <f t="shared" si="0"/>
        <v>303185766.17429996</v>
      </c>
    </row>
    <row r="29" spans="2:5" ht="12.75" x14ac:dyDescent="0.2">
      <c r="B29" s="3">
        <v>26</v>
      </c>
      <c r="C29" s="74">
        <f t="shared" ref="C29:D29" si="19">C28</f>
        <v>1059542746.4110489</v>
      </c>
      <c r="D29" s="74">
        <f t="shared" si="19"/>
        <v>756356980.23674893</v>
      </c>
      <c r="E29" s="74">
        <f t="shared" si="0"/>
        <v>303185766.17429996</v>
      </c>
    </row>
    <row r="30" spans="2:5" ht="12.75" x14ac:dyDescent="0.2">
      <c r="B30" s="3">
        <v>27</v>
      </c>
      <c r="C30" s="74">
        <f t="shared" ref="C30:D30" si="20">C28</f>
        <v>1059542746.4110489</v>
      </c>
      <c r="D30" s="74">
        <f t="shared" si="20"/>
        <v>756356980.23674893</v>
      </c>
      <c r="E30" s="74">
        <f t="shared" si="0"/>
        <v>303185766.17429996</v>
      </c>
    </row>
    <row r="31" spans="2:5" ht="12.75" x14ac:dyDescent="0.2">
      <c r="B31" s="3">
        <v>28</v>
      </c>
      <c r="C31" s="74">
        <f t="shared" ref="C31:D31" si="21">C30</f>
        <v>1059542746.4110489</v>
      </c>
      <c r="D31" s="74">
        <f t="shared" si="21"/>
        <v>756356980.23674893</v>
      </c>
      <c r="E31" s="74">
        <f t="shared" si="0"/>
        <v>303185766.17429996</v>
      </c>
    </row>
    <row r="32" spans="2:5" ht="12.75" x14ac:dyDescent="0.2">
      <c r="B32" s="3">
        <v>29</v>
      </c>
      <c r="C32" s="74">
        <f t="shared" ref="C32:D32" si="22">C30</f>
        <v>1059542746.4110489</v>
      </c>
      <c r="D32" s="74">
        <f t="shared" si="22"/>
        <v>756356980.23674893</v>
      </c>
      <c r="E32" s="74">
        <f t="shared" si="0"/>
        <v>303185766.17429996</v>
      </c>
    </row>
    <row r="33" spans="2:5" ht="12.75" x14ac:dyDescent="0.2">
      <c r="B33" s="3">
        <v>30</v>
      </c>
      <c r="C33" s="74">
        <f t="shared" ref="C33:D33" si="23">C32</f>
        <v>1059542746.4110489</v>
      </c>
      <c r="D33" s="74">
        <f t="shared" si="23"/>
        <v>756356980.23674893</v>
      </c>
      <c r="E33" s="74">
        <f t="shared" si="0"/>
        <v>303185766.17429996</v>
      </c>
    </row>
    <row r="34" spans="2:5" ht="12.75" x14ac:dyDescent="0.2">
      <c r="B34" s="3">
        <v>31</v>
      </c>
      <c r="C34" s="74">
        <f t="shared" ref="C34:D34" si="24">C32</f>
        <v>1059542746.4110489</v>
      </c>
      <c r="D34" s="74">
        <f t="shared" si="24"/>
        <v>756356980.23674893</v>
      </c>
      <c r="E34" s="74">
        <f t="shared" si="0"/>
        <v>303185766.17429996</v>
      </c>
    </row>
    <row r="35" spans="2:5" ht="12.75" x14ac:dyDescent="0.2">
      <c r="B35" s="3">
        <v>32</v>
      </c>
      <c r="C35" s="74">
        <f t="shared" ref="C35:D35" si="25">C34</f>
        <v>1059542746.4110489</v>
      </c>
      <c r="D35" s="74">
        <f t="shared" si="25"/>
        <v>756356980.23674893</v>
      </c>
      <c r="E35" s="74">
        <f t="shared" si="0"/>
        <v>303185766.17429996</v>
      </c>
    </row>
    <row r="36" spans="2:5" ht="12.75" x14ac:dyDescent="0.2">
      <c r="B36" s="3">
        <v>33</v>
      </c>
      <c r="C36" s="74">
        <f t="shared" ref="C36:D36" si="26">C34</f>
        <v>1059542746.4110489</v>
      </c>
      <c r="D36" s="74">
        <f t="shared" si="26"/>
        <v>756356980.23674893</v>
      </c>
      <c r="E36" s="74">
        <f t="shared" si="0"/>
        <v>303185766.17429996</v>
      </c>
    </row>
    <row r="37" spans="2:5" ht="12.75" x14ac:dyDescent="0.2">
      <c r="B37" s="3">
        <v>34</v>
      </c>
      <c r="C37" s="74">
        <f t="shared" ref="C37:D37" si="27">C36</f>
        <v>1059542746.4110489</v>
      </c>
      <c r="D37" s="74">
        <f t="shared" si="27"/>
        <v>756356980.23674893</v>
      </c>
      <c r="E37" s="74">
        <f t="shared" si="0"/>
        <v>303185766.17429996</v>
      </c>
    </row>
    <row r="38" spans="2:5" ht="12.75" x14ac:dyDescent="0.2">
      <c r="B38" s="3">
        <v>35</v>
      </c>
      <c r="C38" s="74">
        <f t="shared" ref="C38:D38" si="28">C36</f>
        <v>1059542746.4110489</v>
      </c>
      <c r="D38" s="74">
        <f t="shared" si="28"/>
        <v>756356980.23674893</v>
      </c>
      <c r="E38" s="74">
        <f t="shared" si="0"/>
        <v>303185766.17429996</v>
      </c>
    </row>
    <row r="39" spans="2:5" ht="12.75" x14ac:dyDescent="0.2">
      <c r="B39" s="3">
        <v>36</v>
      </c>
      <c r="C39" s="74">
        <f t="shared" ref="C39:D39" si="29">C38</f>
        <v>1059542746.4110489</v>
      </c>
      <c r="D39" s="74">
        <f t="shared" si="29"/>
        <v>756356980.23674893</v>
      </c>
      <c r="E39" s="74">
        <f t="shared" si="0"/>
        <v>303185766.17429996</v>
      </c>
    </row>
    <row r="40" spans="2:5" ht="12.75" x14ac:dyDescent="0.2">
      <c r="B40" s="3">
        <v>37</v>
      </c>
      <c r="C40" s="74">
        <f t="shared" ref="C40:D40" si="30">C38</f>
        <v>1059542746.4110489</v>
      </c>
      <c r="D40" s="74">
        <f t="shared" si="30"/>
        <v>756356980.23674893</v>
      </c>
      <c r="E40" s="74">
        <f t="shared" si="0"/>
        <v>303185766.17429996</v>
      </c>
    </row>
    <row r="41" spans="2:5" ht="12.75" x14ac:dyDescent="0.2">
      <c r="B41" s="3">
        <v>38</v>
      </c>
      <c r="C41" s="74">
        <f t="shared" ref="C41:D41" si="31">C40</f>
        <v>1059542746.4110489</v>
      </c>
      <c r="D41" s="74">
        <f t="shared" si="31"/>
        <v>756356980.23674893</v>
      </c>
      <c r="E41" s="74">
        <f t="shared" si="0"/>
        <v>303185766.17429996</v>
      </c>
    </row>
    <row r="42" spans="2:5" ht="12.75" x14ac:dyDescent="0.2">
      <c r="B42" s="3">
        <v>39</v>
      </c>
      <c r="C42" s="74">
        <f t="shared" ref="C42:D42" si="32">C40</f>
        <v>1059542746.4110489</v>
      </c>
      <c r="D42" s="74">
        <f t="shared" si="32"/>
        <v>756356980.23674893</v>
      </c>
      <c r="E42" s="74">
        <f t="shared" si="0"/>
        <v>303185766.17429996</v>
      </c>
    </row>
    <row r="43" spans="2:5" ht="12.75" x14ac:dyDescent="0.2">
      <c r="B43" s="3">
        <v>40</v>
      </c>
      <c r="C43" s="74">
        <f t="shared" ref="C43:D43" si="33">C42</f>
        <v>1059542746.4110489</v>
      </c>
      <c r="D43" s="74">
        <f t="shared" si="33"/>
        <v>756356980.23674893</v>
      </c>
      <c r="E43" s="74">
        <f t="shared" si="0"/>
        <v>303185766.17429996</v>
      </c>
    </row>
    <row r="44" spans="2:5" ht="12.75" x14ac:dyDescent="0.2">
      <c r="B44" s="3">
        <v>41</v>
      </c>
      <c r="C44" s="74">
        <f t="shared" ref="C44:D44" si="34">C42</f>
        <v>1059542746.4110489</v>
      </c>
      <c r="D44" s="74">
        <f t="shared" si="34"/>
        <v>756356980.23674893</v>
      </c>
      <c r="E44" s="74">
        <f t="shared" si="0"/>
        <v>303185766.17429996</v>
      </c>
    </row>
    <row r="45" spans="2:5" ht="12.75" x14ac:dyDescent="0.2">
      <c r="B45" s="3">
        <v>42</v>
      </c>
      <c r="C45" s="74">
        <f t="shared" ref="C45:D45" si="35">C44</f>
        <v>1059542746.4110489</v>
      </c>
      <c r="D45" s="74">
        <f t="shared" si="35"/>
        <v>756356980.23674893</v>
      </c>
      <c r="E45" s="74">
        <f t="shared" si="0"/>
        <v>303185766.17429996</v>
      </c>
    </row>
    <row r="46" spans="2:5" ht="12.75" x14ac:dyDescent="0.2">
      <c r="B46" s="3">
        <v>43</v>
      </c>
      <c r="C46" s="74">
        <f t="shared" ref="C46:D46" si="36">C44</f>
        <v>1059542746.4110489</v>
      </c>
      <c r="D46" s="74">
        <f t="shared" si="36"/>
        <v>756356980.23674893</v>
      </c>
      <c r="E46" s="74">
        <f t="shared" si="0"/>
        <v>303185766.17429996</v>
      </c>
    </row>
    <row r="47" spans="2:5" ht="12.75" x14ac:dyDescent="0.2">
      <c r="B47" s="3">
        <v>44</v>
      </c>
      <c r="C47" s="74">
        <f t="shared" ref="C47:D47" si="37">C46</f>
        <v>1059542746.4110489</v>
      </c>
      <c r="D47" s="74">
        <f t="shared" si="37"/>
        <v>756356980.23674893</v>
      </c>
      <c r="E47" s="74">
        <f t="shared" si="0"/>
        <v>303185766.17429996</v>
      </c>
    </row>
    <row r="48" spans="2:5" ht="12.75" x14ac:dyDescent="0.2">
      <c r="B48" s="3">
        <v>45</v>
      </c>
      <c r="C48" s="74">
        <f t="shared" ref="C48:D48" si="38">C46</f>
        <v>1059542746.4110489</v>
      </c>
      <c r="D48" s="74">
        <f t="shared" si="38"/>
        <v>756356980.23674893</v>
      </c>
      <c r="E48" s="74">
        <f t="shared" si="0"/>
        <v>303185766.17429996</v>
      </c>
    </row>
    <row r="49" spans="2:5" ht="12.75" x14ac:dyDescent="0.2">
      <c r="B49" s="3">
        <v>46</v>
      </c>
      <c r="C49" s="74">
        <f t="shared" ref="C49:D49" si="39">C48</f>
        <v>1059542746.4110489</v>
      </c>
      <c r="D49" s="74">
        <f t="shared" si="39"/>
        <v>756356980.23674893</v>
      </c>
      <c r="E49" s="74">
        <f t="shared" si="0"/>
        <v>303185766.17429996</v>
      </c>
    </row>
    <row r="50" spans="2:5" ht="12.75" x14ac:dyDescent="0.2">
      <c r="B50" s="3">
        <v>47</v>
      </c>
      <c r="C50" s="74">
        <f t="shared" ref="C50:D50" si="40">C48</f>
        <v>1059542746.4110489</v>
      </c>
      <c r="D50" s="74">
        <f t="shared" si="40"/>
        <v>756356980.23674893</v>
      </c>
      <c r="E50" s="74">
        <f t="shared" si="0"/>
        <v>303185766.17429996</v>
      </c>
    </row>
    <row r="51" spans="2:5" ht="12.75" x14ac:dyDescent="0.2">
      <c r="B51" s="3">
        <v>48</v>
      </c>
      <c r="C51" s="74">
        <f t="shared" ref="C51:D51" si="41">C50</f>
        <v>1059542746.4110489</v>
      </c>
      <c r="D51" s="74">
        <f t="shared" si="41"/>
        <v>756356980.23674893</v>
      </c>
      <c r="E51" s="74">
        <f t="shared" si="0"/>
        <v>303185766.17429996</v>
      </c>
    </row>
    <row r="52" spans="2:5" ht="12.75" x14ac:dyDescent="0.2">
      <c r="B52" s="3">
        <v>49</v>
      </c>
      <c r="C52" s="74">
        <f t="shared" ref="C52:D52" si="42">C50</f>
        <v>1059542746.4110489</v>
      </c>
      <c r="D52" s="74">
        <f t="shared" si="42"/>
        <v>756356980.23674893</v>
      </c>
      <c r="E52" s="74">
        <f t="shared" si="0"/>
        <v>303185766.17429996</v>
      </c>
    </row>
    <row r="53" spans="2:5" ht="12.75" x14ac:dyDescent="0.2">
      <c r="B53" s="3">
        <v>50</v>
      </c>
      <c r="C53" s="74">
        <f t="shared" ref="C53:D53" si="43">C52</f>
        <v>1059542746.4110489</v>
      </c>
      <c r="D53" s="74">
        <f t="shared" si="43"/>
        <v>756356980.23674893</v>
      </c>
      <c r="E53" s="74">
        <f t="shared" si="0"/>
        <v>303185766.17429996</v>
      </c>
    </row>
    <row r="54" spans="2:5" ht="12.75" x14ac:dyDescent="0.2">
      <c r="B54" s="3">
        <v>51</v>
      </c>
      <c r="C54" s="74">
        <f t="shared" ref="C54:D54" si="44">C52</f>
        <v>1059542746.4110489</v>
      </c>
      <c r="D54" s="74">
        <f t="shared" si="44"/>
        <v>756356980.23674893</v>
      </c>
      <c r="E54" s="74">
        <f t="shared" si="0"/>
        <v>303185766.17429996</v>
      </c>
    </row>
    <row r="55" spans="2:5" ht="12.75" x14ac:dyDescent="0.2">
      <c r="B55" s="3">
        <v>52</v>
      </c>
      <c r="C55" s="74">
        <f t="shared" ref="C55:D55" si="45">C54</f>
        <v>1059542746.4110489</v>
      </c>
      <c r="D55" s="74">
        <f t="shared" si="45"/>
        <v>756356980.23674893</v>
      </c>
      <c r="E55" s="74">
        <f t="shared" si="0"/>
        <v>303185766.17429996</v>
      </c>
    </row>
    <row r="56" spans="2:5" ht="12.75" x14ac:dyDescent="0.2">
      <c r="B56" s="3">
        <v>53</v>
      </c>
      <c r="C56" s="74">
        <f t="shared" ref="C56:D56" si="46">C54</f>
        <v>1059542746.4110489</v>
      </c>
      <c r="D56" s="74">
        <f t="shared" si="46"/>
        <v>756356980.23674893</v>
      </c>
      <c r="E56" s="74">
        <f t="shared" si="0"/>
        <v>303185766.17429996</v>
      </c>
    </row>
    <row r="57" spans="2:5" ht="12.75" x14ac:dyDescent="0.2">
      <c r="B57" s="3">
        <v>54</v>
      </c>
      <c r="C57" s="74">
        <f t="shared" ref="C57:D57" si="47">C56</f>
        <v>1059542746.4110489</v>
      </c>
      <c r="D57" s="74">
        <f t="shared" si="47"/>
        <v>756356980.23674893</v>
      </c>
      <c r="E57" s="74">
        <f t="shared" si="0"/>
        <v>303185766.17429996</v>
      </c>
    </row>
    <row r="58" spans="2:5" ht="12.75" x14ac:dyDescent="0.2">
      <c r="B58" s="3">
        <v>55</v>
      </c>
      <c r="C58" s="74">
        <f t="shared" ref="C58:D58" si="48">C56</f>
        <v>1059542746.4110489</v>
      </c>
      <c r="D58" s="74">
        <f t="shared" si="48"/>
        <v>756356980.23674893</v>
      </c>
      <c r="E58" s="74">
        <f t="shared" si="0"/>
        <v>303185766.17429996</v>
      </c>
    </row>
    <row r="59" spans="2:5" ht="12.75" x14ac:dyDescent="0.2">
      <c r="B59" s="3">
        <v>56</v>
      </c>
      <c r="C59" s="74">
        <f t="shared" ref="C59:D59" si="49">C58</f>
        <v>1059542746.4110489</v>
      </c>
      <c r="D59" s="74">
        <f t="shared" si="49"/>
        <v>756356980.23674893</v>
      </c>
      <c r="E59" s="74">
        <f t="shared" si="0"/>
        <v>303185766.17429996</v>
      </c>
    </row>
    <row r="60" spans="2:5" ht="12.75" x14ac:dyDescent="0.2">
      <c r="B60" s="3">
        <v>57</v>
      </c>
      <c r="C60" s="74">
        <f t="shared" ref="C60:D60" si="50">C58</f>
        <v>1059542746.4110489</v>
      </c>
      <c r="D60" s="74">
        <f t="shared" si="50"/>
        <v>756356980.23674893</v>
      </c>
      <c r="E60" s="74">
        <f t="shared" si="0"/>
        <v>303185766.17429996</v>
      </c>
    </row>
    <row r="61" spans="2:5" ht="12.75" x14ac:dyDescent="0.2">
      <c r="B61" s="3">
        <v>58</v>
      </c>
      <c r="C61" s="74">
        <f t="shared" ref="C61:D61" si="51">C60</f>
        <v>1059542746.4110489</v>
      </c>
      <c r="D61" s="74">
        <f t="shared" si="51"/>
        <v>756356980.23674893</v>
      </c>
      <c r="E61" s="74">
        <f t="shared" si="0"/>
        <v>303185766.17429996</v>
      </c>
    </row>
    <row r="62" spans="2:5" ht="12.75" x14ac:dyDescent="0.2">
      <c r="B62" s="3">
        <v>59</v>
      </c>
      <c r="C62" s="74">
        <f t="shared" ref="C62:D62" si="52">C60</f>
        <v>1059542746.4110489</v>
      </c>
      <c r="D62" s="74">
        <f t="shared" si="52"/>
        <v>756356980.23674893</v>
      </c>
      <c r="E62" s="74">
        <f t="shared" si="0"/>
        <v>303185766.17429996</v>
      </c>
    </row>
    <row r="63" spans="2:5" ht="12.75" x14ac:dyDescent="0.2">
      <c r="B63" s="3">
        <v>60</v>
      </c>
      <c r="C63" s="74">
        <f t="shared" ref="C63:D63" si="53">C62</f>
        <v>1059542746.4110489</v>
      </c>
      <c r="D63" s="74">
        <f t="shared" si="53"/>
        <v>756356980.23674893</v>
      </c>
      <c r="E63" s="74">
        <f t="shared" si="0"/>
        <v>303185766.17429996</v>
      </c>
    </row>
    <row r="64" spans="2:5" ht="12.75" x14ac:dyDescent="0.2">
      <c r="B64" s="3">
        <v>61</v>
      </c>
      <c r="C64" s="74">
        <f t="shared" ref="C64:D64" si="54">C62</f>
        <v>1059542746.4110489</v>
      </c>
      <c r="D64" s="74">
        <f t="shared" si="54"/>
        <v>756356980.23674893</v>
      </c>
      <c r="E64" s="74">
        <f t="shared" si="0"/>
        <v>303185766.17429996</v>
      </c>
    </row>
    <row r="65" spans="2:5" ht="12.75" x14ac:dyDescent="0.2">
      <c r="B65" s="3">
        <v>62</v>
      </c>
      <c r="C65" s="74">
        <f t="shared" ref="C65:D65" si="55">C64</f>
        <v>1059542746.4110489</v>
      </c>
      <c r="D65" s="74">
        <f t="shared" si="55"/>
        <v>756356980.23674893</v>
      </c>
      <c r="E65" s="74">
        <f t="shared" si="0"/>
        <v>303185766.17429996</v>
      </c>
    </row>
    <row r="66" spans="2:5" ht="12.75" x14ac:dyDescent="0.2">
      <c r="B66" s="3">
        <v>63</v>
      </c>
      <c r="C66" s="74">
        <f t="shared" ref="C66:D66" si="56">C64</f>
        <v>1059542746.4110489</v>
      </c>
      <c r="D66" s="74">
        <f t="shared" si="56"/>
        <v>756356980.23674893</v>
      </c>
      <c r="E66" s="74">
        <f t="shared" si="0"/>
        <v>303185766.17429996</v>
      </c>
    </row>
    <row r="67" spans="2:5" ht="12.75" x14ac:dyDescent="0.2">
      <c r="B67" s="3">
        <v>64</v>
      </c>
      <c r="C67" s="74">
        <f t="shared" ref="C67:D67" si="57">C66</f>
        <v>1059542746.4110489</v>
      </c>
      <c r="D67" s="74">
        <f t="shared" si="57"/>
        <v>756356980.23674893</v>
      </c>
      <c r="E67" s="74">
        <f t="shared" si="0"/>
        <v>303185766.17429996</v>
      </c>
    </row>
    <row r="68" spans="2:5" ht="12.75" x14ac:dyDescent="0.2">
      <c r="B68" s="3">
        <v>65</v>
      </c>
      <c r="C68" s="74">
        <f t="shared" ref="C68:D68" si="58">C66</f>
        <v>1059542746.4110489</v>
      </c>
      <c r="D68" s="74">
        <f t="shared" si="58"/>
        <v>756356980.23674893</v>
      </c>
      <c r="E68" s="74">
        <f t="shared" si="0"/>
        <v>303185766.17429996</v>
      </c>
    </row>
    <row r="69" spans="2:5" ht="12.75" x14ac:dyDescent="0.2">
      <c r="B69" s="3">
        <v>66</v>
      </c>
      <c r="C69" s="74">
        <f t="shared" ref="C69:D69" si="59">C68</f>
        <v>1059542746.4110489</v>
      </c>
      <c r="D69" s="74">
        <f t="shared" si="59"/>
        <v>756356980.23674893</v>
      </c>
      <c r="E69" s="74">
        <f t="shared" si="0"/>
        <v>303185766.17429996</v>
      </c>
    </row>
    <row r="70" spans="2:5" ht="12.75" x14ac:dyDescent="0.2">
      <c r="B70" s="3">
        <v>67</v>
      </c>
      <c r="C70" s="74">
        <f t="shared" ref="C70:D70" si="60">C68</f>
        <v>1059542746.4110489</v>
      </c>
      <c r="D70" s="74">
        <f t="shared" si="60"/>
        <v>756356980.23674893</v>
      </c>
      <c r="E70" s="74">
        <f t="shared" si="0"/>
        <v>303185766.17429996</v>
      </c>
    </row>
    <row r="71" spans="2:5" ht="12.75" x14ac:dyDescent="0.2">
      <c r="B71" s="3">
        <v>68</v>
      </c>
      <c r="C71" s="74">
        <f t="shared" ref="C71:D71" si="61">C70</f>
        <v>1059542746.4110489</v>
      </c>
      <c r="D71" s="74">
        <f t="shared" si="61"/>
        <v>756356980.23674893</v>
      </c>
      <c r="E71" s="74">
        <f t="shared" si="0"/>
        <v>303185766.17429996</v>
      </c>
    </row>
    <row r="72" spans="2:5" ht="12.75" x14ac:dyDescent="0.2">
      <c r="B72" s="3">
        <v>69</v>
      </c>
      <c r="C72" s="74">
        <f t="shared" ref="C72:D72" si="62">C70</f>
        <v>1059542746.4110489</v>
      </c>
      <c r="D72" s="74">
        <f t="shared" si="62"/>
        <v>756356980.23674893</v>
      </c>
      <c r="E72" s="74">
        <f t="shared" si="0"/>
        <v>303185766.17429996</v>
      </c>
    </row>
    <row r="73" spans="2:5" ht="12.75" x14ac:dyDescent="0.2">
      <c r="B73" s="3">
        <v>70</v>
      </c>
      <c r="C73" s="74">
        <f t="shared" ref="C73:D73" si="63">C72</f>
        <v>1059542746.4110489</v>
      </c>
      <c r="D73" s="74">
        <f t="shared" si="63"/>
        <v>756356980.23674893</v>
      </c>
      <c r="E73" s="74">
        <f t="shared" si="0"/>
        <v>303185766.17429996</v>
      </c>
    </row>
    <row r="74" spans="2:5" ht="12.75" x14ac:dyDescent="0.2">
      <c r="B74" s="3">
        <v>71</v>
      </c>
      <c r="C74" s="74">
        <f t="shared" ref="C74:D74" si="64">C72</f>
        <v>1059542746.4110489</v>
      </c>
      <c r="D74" s="74">
        <f t="shared" si="64"/>
        <v>756356980.23674893</v>
      </c>
      <c r="E74" s="74">
        <f t="shared" si="0"/>
        <v>303185766.17429996</v>
      </c>
    </row>
    <row r="75" spans="2:5" ht="12.75" x14ac:dyDescent="0.2">
      <c r="B75" s="3">
        <v>72</v>
      </c>
      <c r="C75" s="74">
        <f t="shared" ref="C75:D75" si="65">C74</f>
        <v>1059542746.4110489</v>
      </c>
      <c r="D75" s="74">
        <f t="shared" si="65"/>
        <v>756356980.23674893</v>
      </c>
      <c r="E75" s="74">
        <f t="shared" si="0"/>
        <v>303185766.17429996</v>
      </c>
    </row>
    <row r="76" spans="2:5" ht="12.75" x14ac:dyDescent="0.2">
      <c r="D76" s="27" t="s">
        <v>277</v>
      </c>
      <c r="E76" s="66">
        <f t="array" ref="E76">NPV(8%,E5:E75)+E4</f>
        <v>1215805616.3196714</v>
      </c>
    </row>
    <row r="77" spans="2:5" ht="12.75" x14ac:dyDescent="0.2">
      <c r="D77" s="27" t="s">
        <v>278</v>
      </c>
      <c r="E77" s="45">
        <f>IRR(E4:E75)</f>
        <v>0.12841135519301172</v>
      </c>
    </row>
    <row r="78" spans="2:5" ht="12.75" x14ac:dyDescent="0.2">
      <c r="D78" s="27" t="s">
        <v>279</v>
      </c>
      <c r="E78" s="46">
        <f>E76/D4</f>
        <v>1.3616118027317472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C9"/>
  <sheetViews>
    <sheetView workbookViewId="0">
      <selection activeCell="D10" sqref="D10"/>
    </sheetView>
  </sheetViews>
  <sheetFormatPr baseColWidth="10" defaultColWidth="12.5703125" defaultRowHeight="15.75" customHeight="1" x14ac:dyDescent="0.2"/>
  <cols>
    <col min="2" max="2" width="25.42578125" customWidth="1"/>
    <col min="3" max="3" width="19.140625" bestFit="1" customWidth="1"/>
  </cols>
  <sheetData>
    <row r="2" spans="2:3" ht="15.75" customHeight="1" x14ac:dyDescent="0.25">
      <c r="B2" s="53" t="s">
        <v>280</v>
      </c>
      <c r="C2" s="55"/>
    </row>
    <row r="3" spans="2:3" x14ac:dyDescent="0.2">
      <c r="B3" s="47" t="s">
        <v>281</v>
      </c>
      <c r="C3" s="74">
        <f>Costos!C15*6*Costos!C18+Costos!C15*6*Costos!C17</f>
        <v>16715581780.624187</v>
      </c>
    </row>
    <row r="4" spans="2:3" x14ac:dyDescent="0.2">
      <c r="B4" s="47" t="s">
        <v>275</v>
      </c>
      <c r="C4" s="74">
        <f>Costos!C13*12</f>
        <v>9076283762.8409882</v>
      </c>
    </row>
    <row r="5" spans="2:3" x14ac:dyDescent="0.2">
      <c r="B5" s="47" t="s">
        <v>276</v>
      </c>
      <c r="C5" s="74">
        <f>C3-C4</f>
        <v>7639298017.7831993</v>
      </c>
    </row>
    <row r="6" spans="2:3" x14ac:dyDescent="0.2">
      <c r="B6" s="47" t="s">
        <v>282</v>
      </c>
      <c r="C6" s="74">
        <f>Amortización!C5*12</f>
        <v>298705536.05778897</v>
      </c>
    </row>
    <row r="7" spans="2:3" x14ac:dyDescent="0.2">
      <c r="B7" s="47" t="s">
        <v>283</v>
      </c>
      <c r="C7" s="74">
        <f>C5-C6</f>
        <v>7340592481.7254105</v>
      </c>
    </row>
    <row r="8" spans="2:3" x14ac:dyDescent="0.2">
      <c r="B8" s="47" t="s">
        <v>284</v>
      </c>
      <c r="C8" s="74">
        <f>C7*19%</f>
        <v>1394712571.527828</v>
      </c>
    </row>
    <row r="9" spans="2:3" x14ac:dyDescent="0.2">
      <c r="B9" s="47" t="s">
        <v>285</v>
      </c>
      <c r="C9" s="74">
        <f>C7-C8</f>
        <v>5945879910.1975822</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Amortización</vt:lpstr>
      <vt:lpstr>Costos</vt:lpstr>
      <vt:lpstr>VPN y TIR</vt:lpstr>
      <vt:lpstr>Estado de resultados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99pau</cp:lastModifiedBy>
  <dcterms:modified xsi:type="dcterms:W3CDTF">2022-05-11T06:17:52Z</dcterms:modified>
</cp:coreProperties>
</file>