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ve\Downloads\"/>
    </mc:Choice>
  </mc:AlternateContent>
  <xr:revisionPtr revIDLastSave="0" documentId="13_ncr:1_{E5B2FA29-F410-4344-BB83-F981D847EEA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stos" sheetId="1" r:id="rId1"/>
    <sheet name="Balance" sheetId="3" r:id="rId2"/>
    <sheet name="Referencias" sheetId="2" r:id="rId3"/>
    <sheet name="Tabelle1" sheetId="4" r:id="rId4"/>
  </sheets>
  <definedNames>
    <definedName name="solver_adj" localSheetId="1" hidden="1">Balance!$G$2</definedName>
    <definedName name="solver_adj" localSheetId="0" hidden="1">Costos!$C$2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Balance!$G$3</definedName>
    <definedName name="solver_opt" localSheetId="0" hidden="1">Costos!$H$63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6" i="1" l="1"/>
  <c r="I63" i="1"/>
  <c r="C44" i="1"/>
  <c r="F44" i="1" s="1"/>
  <c r="I44" i="1" s="1"/>
  <c r="C43" i="1"/>
  <c r="D16" i="1"/>
  <c r="C39" i="1"/>
  <c r="F39" i="1" s="1"/>
  <c r="I39" i="1" s="1"/>
  <c r="J39" i="1" s="1"/>
  <c r="J47" i="1"/>
  <c r="J48" i="1"/>
  <c r="J49" i="1"/>
  <c r="J50" i="1"/>
  <c r="J51" i="1"/>
  <c r="J52" i="1"/>
  <c r="J53" i="1"/>
  <c r="I43" i="1"/>
  <c r="J43" i="1" s="1"/>
  <c r="I47" i="1"/>
  <c r="H47" i="1" s="1"/>
  <c r="I48" i="1"/>
  <c r="H48" i="1" s="1"/>
  <c r="I49" i="1"/>
  <c r="H49" i="1" s="1"/>
  <c r="I50" i="1"/>
  <c r="I51" i="1"/>
  <c r="I52" i="1"/>
  <c r="I53" i="1"/>
  <c r="H50" i="1"/>
  <c r="H51" i="1"/>
  <c r="H52" i="1"/>
  <c r="H53" i="1"/>
  <c r="C30" i="1"/>
  <c r="F30" i="1" s="1"/>
  <c r="I30" i="1" s="1"/>
  <c r="H30" i="1" s="1"/>
  <c r="C29" i="1"/>
  <c r="F29" i="1" s="1"/>
  <c r="I29" i="1" s="1"/>
  <c r="H29" i="1" s="1"/>
  <c r="D25" i="1"/>
  <c r="F25" i="1" s="1"/>
  <c r="I25" i="1" s="1"/>
  <c r="H25" i="1" s="1"/>
  <c r="C23" i="1"/>
  <c r="F23" i="1" s="1"/>
  <c r="I23" i="1" s="1"/>
  <c r="H23" i="1" s="1"/>
  <c r="D22" i="1"/>
  <c r="I54" i="1"/>
  <c r="F21" i="1"/>
  <c r="I21" i="1" s="1"/>
  <c r="F22" i="1"/>
  <c r="I22" i="1" s="1"/>
  <c r="F24" i="1"/>
  <c r="I24" i="1" s="1"/>
  <c r="F26" i="1"/>
  <c r="I26" i="1" s="1"/>
  <c r="F27" i="1"/>
  <c r="I27" i="1" s="1"/>
  <c r="F28" i="1"/>
  <c r="I28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40" i="1"/>
  <c r="I40" i="1" s="1"/>
  <c r="F41" i="1"/>
  <c r="I41" i="1" s="1"/>
  <c r="F42" i="1"/>
  <c r="I42" i="1" s="1"/>
  <c r="F43" i="1"/>
  <c r="F45" i="1"/>
  <c r="I45" i="1" s="1"/>
  <c r="F46" i="1"/>
  <c r="I46" i="1" s="1"/>
  <c r="F47" i="1"/>
  <c r="F48" i="1"/>
  <c r="F49" i="1"/>
  <c r="F50" i="1"/>
  <c r="F51" i="1"/>
  <c r="F52" i="1"/>
  <c r="F53" i="1"/>
  <c r="F54" i="1"/>
  <c r="H14" i="1"/>
  <c r="P32" i="3"/>
  <c r="Q32" i="3"/>
  <c r="R32" i="3"/>
  <c r="S32" i="3"/>
  <c r="P33" i="3"/>
  <c r="Q33" i="3"/>
  <c r="R33" i="3"/>
  <c r="P34" i="3"/>
  <c r="Q34" i="3"/>
  <c r="R34" i="3"/>
  <c r="S34" i="3"/>
  <c r="P35" i="3"/>
  <c r="R35" i="3"/>
  <c r="S35" i="3"/>
  <c r="P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O40" i="3"/>
  <c r="P40" i="3"/>
  <c r="Q40" i="3"/>
  <c r="R40" i="3"/>
  <c r="S40" i="3"/>
  <c r="O41" i="3"/>
  <c r="P41" i="3"/>
  <c r="Q41" i="3"/>
  <c r="R41" i="3"/>
  <c r="S41" i="3"/>
  <c r="N34" i="3"/>
  <c r="N35" i="3"/>
  <c r="N36" i="3"/>
  <c r="N39" i="3"/>
  <c r="N40" i="3"/>
  <c r="N41" i="3"/>
  <c r="O8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N12" i="3"/>
  <c r="P12" i="3"/>
  <c r="Q12" i="3"/>
  <c r="R12" i="3"/>
  <c r="S12" i="3"/>
  <c r="O13" i="3"/>
  <c r="P13" i="3"/>
  <c r="Q13" i="3"/>
  <c r="R13" i="3"/>
  <c r="S13" i="3"/>
  <c r="P14" i="3"/>
  <c r="Q14" i="3"/>
  <c r="R14" i="3"/>
  <c r="S14" i="3"/>
  <c r="O15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N19" i="3"/>
  <c r="P19" i="3"/>
  <c r="Q19" i="3"/>
  <c r="R19" i="3"/>
  <c r="S19" i="3"/>
  <c r="N20" i="3"/>
  <c r="P20" i="3"/>
  <c r="R20" i="3"/>
  <c r="S20" i="3"/>
  <c r="N21" i="3"/>
  <c r="P21" i="3"/>
  <c r="Q21" i="3"/>
  <c r="R21" i="3"/>
  <c r="S21" i="3"/>
  <c r="P22" i="3"/>
  <c r="Q22" i="3"/>
  <c r="R22" i="3"/>
  <c r="S22" i="3"/>
  <c r="P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P27" i="3"/>
  <c r="Q27" i="3"/>
  <c r="R27" i="3"/>
  <c r="S27" i="3"/>
  <c r="P28" i="3"/>
  <c r="Q28" i="3"/>
  <c r="R28" i="3"/>
  <c r="S28" i="3"/>
  <c r="P29" i="3"/>
  <c r="R29" i="3"/>
  <c r="S29" i="3"/>
  <c r="P30" i="3"/>
  <c r="Q30" i="3"/>
  <c r="R30" i="3"/>
  <c r="S30" i="3"/>
  <c r="P31" i="3"/>
  <c r="Q31" i="3"/>
  <c r="R31" i="3"/>
  <c r="S31" i="3"/>
  <c r="J29" i="1" l="1"/>
  <c r="J30" i="1"/>
  <c r="H46" i="1"/>
  <c r="J46" i="1"/>
  <c r="J45" i="1"/>
  <c r="H45" i="1"/>
  <c r="J44" i="1"/>
  <c r="H44" i="1"/>
  <c r="H43" i="1"/>
  <c r="H42" i="1"/>
  <c r="J42" i="1"/>
  <c r="H41" i="1"/>
  <c r="J41" i="1"/>
  <c r="J40" i="1"/>
  <c r="H40" i="1"/>
  <c r="H39" i="1"/>
  <c r="J32" i="1"/>
  <c r="H32" i="1"/>
  <c r="H26" i="1"/>
  <c r="J26" i="1"/>
  <c r="H24" i="1"/>
  <c r="J24" i="1"/>
  <c r="H27" i="1"/>
  <c r="J27" i="1"/>
  <c r="J21" i="1"/>
  <c r="H21" i="1"/>
  <c r="J28" i="1"/>
  <c r="H28" i="1"/>
  <c r="H22" i="1"/>
  <c r="J22" i="1"/>
  <c r="J25" i="1"/>
  <c r="J23" i="1"/>
  <c r="J38" i="1"/>
  <c r="H38" i="1"/>
  <c r="J37" i="1"/>
  <c r="H37" i="1"/>
  <c r="J36" i="1"/>
  <c r="H36" i="1"/>
  <c r="J35" i="1"/>
  <c r="H35" i="1"/>
  <c r="J34" i="1"/>
  <c r="H34" i="1"/>
  <c r="J33" i="1"/>
  <c r="H33" i="1"/>
  <c r="G49" i="1"/>
  <c r="G51" i="1"/>
  <c r="G50" i="1"/>
  <c r="G53" i="1"/>
  <c r="G52" i="1"/>
  <c r="G47" i="1"/>
  <c r="O34" i="3" s="1"/>
  <c r="G46" i="1"/>
  <c r="S33" i="3" s="1"/>
  <c r="R42" i="3"/>
  <c r="P42" i="3"/>
  <c r="G45" i="1"/>
  <c r="G38" i="1"/>
  <c r="G39" i="1"/>
  <c r="N26" i="3" s="1"/>
  <c r="E9" i="1"/>
  <c r="E10" i="1"/>
  <c r="E11" i="1"/>
  <c r="Q36" i="3" l="1"/>
  <c r="O36" i="3"/>
  <c r="N37" i="3"/>
  <c r="O37" i="3"/>
  <c r="N38" i="3"/>
  <c r="O38" i="3"/>
  <c r="S39" i="3"/>
  <c r="O39" i="3"/>
  <c r="S26" i="3"/>
  <c r="O26" i="3"/>
  <c r="N25" i="3"/>
  <c r="O25" i="3"/>
  <c r="O32" i="3"/>
  <c r="N32" i="3"/>
  <c r="G37" i="1"/>
  <c r="N33" i="3"/>
  <c r="O33" i="3"/>
  <c r="G23" i="1"/>
  <c r="G35" i="1"/>
  <c r="G43" i="1"/>
  <c r="G42" i="1"/>
  <c r="N29" i="3" s="1"/>
  <c r="C12" i="1"/>
  <c r="G21" i="1"/>
  <c r="N8" i="3" s="1"/>
  <c r="G25" i="1"/>
  <c r="O12" i="3" s="1"/>
  <c r="G54" i="1"/>
  <c r="G41" i="1"/>
  <c r="G22" i="1"/>
  <c r="G44" i="1"/>
  <c r="G40" i="1"/>
  <c r="O31" i="3" l="1"/>
  <c r="N31" i="3"/>
  <c r="O22" i="3"/>
  <c r="N22" i="3"/>
  <c r="C31" i="1"/>
  <c r="F31" i="1" s="1"/>
  <c r="I31" i="1" s="1"/>
  <c r="S42" i="3"/>
  <c r="N24" i="3"/>
  <c r="O24" i="3"/>
  <c r="N11" i="3"/>
  <c r="N10" i="3"/>
  <c r="O10" i="3"/>
  <c r="N9" i="3"/>
  <c r="O9" i="3"/>
  <c r="O30" i="3"/>
  <c r="N30" i="3"/>
  <c r="O29" i="3"/>
  <c r="Q29" i="3"/>
  <c r="O28" i="3"/>
  <c r="N28" i="3"/>
  <c r="O27" i="3"/>
  <c r="N27" i="3"/>
  <c r="G34" i="1"/>
  <c r="O21" i="3" s="1"/>
  <c r="J31" i="1" l="1"/>
  <c r="H31" i="1"/>
  <c r="N18" i="3"/>
  <c r="G48" i="1"/>
  <c r="N16" i="3"/>
  <c r="G36" i="1"/>
  <c r="N23" i="3" s="1"/>
  <c r="Q35" i="3" l="1"/>
  <c r="O35" i="3"/>
  <c r="Q23" i="3"/>
  <c r="O23" i="3"/>
  <c r="O20" i="3"/>
  <c r="G24" i="1" l="1"/>
  <c r="O11" i="3" s="1"/>
  <c r="G26" i="1" l="1"/>
  <c r="N13" i="3" s="1"/>
  <c r="G27" i="1" l="1"/>
  <c r="O14" i="3" l="1"/>
  <c r="N14" i="3"/>
  <c r="G28" i="1" l="1"/>
  <c r="N15" i="3" s="1"/>
  <c r="G29" i="1" l="1"/>
  <c r="O16" i="3" s="1"/>
  <c r="G30" i="1" l="1"/>
  <c r="N17" i="3" l="1"/>
  <c r="N42" i="3" s="1"/>
  <c r="B2" i="3" s="1"/>
  <c r="C2" i="3" s="1"/>
  <c r="O17" i="3"/>
  <c r="D2" i="3" l="1"/>
  <c r="G32" i="1"/>
  <c r="O19" i="3" s="1"/>
  <c r="G33" i="1" l="1"/>
  <c r="Q20" i="3" s="1"/>
  <c r="Q42" i="3" s="1"/>
  <c r="G31" i="1"/>
  <c r="O18" i="3" s="1"/>
  <c r="O42" i="3" s="1"/>
  <c r="B60" i="3" l="1"/>
  <c r="C60" i="3" s="1"/>
  <c r="B112" i="3"/>
  <c r="C112" i="3" s="1"/>
  <c r="B113" i="3"/>
  <c r="C113" i="3" s="1"/>
  <c r="B114" i="3"/>
  <c r="C114" i="3" s="1"/>
  <c r="B38" i="3"/>
  <c r="C38" i="3" s="1"/>
  <c r="B182" i="3"/>
  <c r="C182" i="3" s="1"/>
  <c r="B116" i="3"/>
  <c r="C116" i="3" s="1"/>
  <c r="B132" i="3"/>
  <c r="C132" i="3" s="1"/>
  <c r="B142" i="3"/>
  <c r="C142" i="3" s="1"/>
  <c r="B18" i="3"/>
  <c r="C18" i="3" s="1"/>
  <c r="B153" i="3"/>
  <c r="C153" i="3" s="1"/>
  <c r="B84" i="3"/>
  <c r="C84" i="3" s="1"/>
  <c r="B11" i="3"/>
  <c r="C11" i="3" s="1"/>
  <c r="B87" i="3"/>
  <c r="C87" i="3" s="1"/>
  <c r="B177" i="3"/>
  <c r="C177" i="3" s="1"/>
  <c r="B96" i="3"/>
  <c r="C96" i="3" s="1"/>
  <c r="B110" i="3"/>
  <c r="C110" i="3" s="1"/>
  <c r="B88" i="3"/>
  <c r="C88" i="3" s="1"/>
  <c r="B139" i="3"/>
  <c r="C139" i="3" s="1"/>
  <c r="B22" i="3"/>
  <c r="C22" i="3" s="1"/>
  <c r="B165" i="3"/>
  <c r="C165" i="3" s="1"/>
  <c r="B37" i="3"/>
  <c r="C37" i="3" s="1"/>
  <c r="B3" i="3"/>
  <c r="C3" i="3" s="1"/>
  <c r="B29" i="3"/>
  <c r="C29" i="3" s="1"/>
  <c r="B122" i="3"/>
  <c r="C122" i="3" s="1"/>
  <c r="B23" i="3"/>
  <c r="C23" i="3" s="1"/>
  <c r="B48" i="3"/>
  <c r="C48" i="3" s="1"/>
  <c r="B154" i="3"/>
  <c r="C154" i="3" s="1"/>
  <c r="B128" i="3"/>
  <c r="C128" i="3" s="1"/>
  <c r="B166" i="3"/>
  <c r="C166" i="3" s="1"/>
  <c r="B162" i="3"/>
  <c r="C162" i="3" s="1"/>
  <c r="B115" i="3"/>
  <c r="C115" i="3" s="1"/>
  <c r="B108" i="3"/>
  <c r="C108" i="3" s="1"/>
  <c r="B59" i="3"/>
  <c r="C59" i="3" s="1"/>
  <c r="B17" i="3"/>
  <c r="C17" i="3" s="1"/>
  <c r="B126" i="3"/>
  <c r="C126" i="3" s="1"/>
  <c r="B21" i="3"/>
  <c r="C21" i="3" s="1"/>
  <c r="B129" i="3"/>
  <c r="C129" i="3" s="1"/>
  <c r="B68" i="3"/>
  <c r="C68" i="3" s="1"/>
  <c r="B71" i="3"/>
  <c r="C71" i="3" s="1"/>
  <c r="B40" i="3"/>
  <c r="C40" i="3" s="1"/>
  <c r="B61" i="3"/>
  <c r="C61" i="3" s="1"/>
  <c r="B148" i="3"/>
  <c r="C148" i="3" s="1"/>
  <c r="B150" i="3"/>
  <c r="C150" i="3" s="1"/>
  <c r="B103" i="3"/>
  <c r="C103" i="3" s="1"/>
  <c r="B19" i="3"/>
  <c r="C19" i="3" s="1"/>
  <c r="B34" i="3"/>
  <c r="C34" i="3" s="1"/>
  <c r="B159" i="3"/>
  <c r="C159" i="3" s="1"/>
  <c r="B124" i="3"/>
  <c r="C124" i="3" s="1"/>
  <c r="B135" i="3"/>
  <c r="C135" i="3" s="1"/>
  <c r="B76" i="3"/>
  <c r="C76" i="3" s="1"/>
  <c r="B12" i="3"/>
  <c r="C12" i="3" s="1"/>
  <c r="B6" i="3"/>
  <c r="C6" i="3" s="1"/>
  <c r="B158" i="3"/>
  <c r="C158" i="3" s="1"/>
  <c r="B86" i="3"/>
  <c r="C86" i="3" s="1"/>
  <c r="B98" i="3"/>
  <c r="C98" i="3" s="1"/>
  <c r="B146" i="3"/>
  <c r="C146" i="3" s="1"/>
  <c r="B13" i="3"/>
  <c r="C13" i="3" s="1"/>
  <c r="B36" i="3"/>
  <c r="C36" i="3" s="1"/>
  <c r="B140" i="3"/>
  <c r="C140" i="3" s="1"/>
  <c r="B152" i="3"/>
  <c r="C152" i="3" s="1"/>
  <c r="B160" i="3"/>
  <c r="C160" i="3" s="1"/>
  <c r="B118" i="3"/>
  <c r="C118" i="3" s="1"/>
  <c r="B80" i="3"/>
  <c r="C80" i="3" s="1"/>
  <c r="B82" i="3"/>
  <c r="C82" i="3" s="1"/>
  <c r="B16" i="3"/>
  <c r="C16" i="3" s="1"/>
  <c r="B94" i="3"/>
  <c r="C94" i="3" s="1"/>
  <c r="B31" i="3"/>
  <c r="C31" i="3" s="1"/>
  <c r="B145" i="3"/>
  <c r="C145" i="3" s="1"/>
  <c r="B168" i="3"/>
  <c r="C168" i="3" s="1"/>
  <c r="B9" i="3"/>
  <c r="C9" i="3" s="1"/>
  <c r="B85" i="3"/>
  <c r="C85" i="3" s="1"/>
  <c r="B43" i="3"/>
  <c r="C43" i="3" s="1"/>
  <c r="B56" i="3"/>
  <c r="C56" i="3" s="1"/>
  <c r="B89" i="3"/>
  <c r="C89" i="3" s="1"/>
  <c r="B33" i="3"/>
  <c r="C33" i="3" s="1"/>
  <c r="B35" i="3"/>
  <c r="C35" i="3" s="1"/>
  <c r="B15" i="3"/>
  <c r="C15" i="3" s="1"/>
  <c r="B58" i="3"/>
  <c r="C58" i="3" s="1"/>
  <c r="B134" i="3"/>
  <c r="C134" i="3" s="1"/>
  <c r="B173" i="3"/>
  <c r="C173" i="3" s="1"/>
  <c r="B104" i="3"/>
  <c r="C104" i="3" s="1"/>
  <c r="B178" i="3"/>
  <c r="C178" i="3" s="1"/>
  <c r="B66" i="3"/>
  <c r="C66" i="3" s="1"/>
  <c r="B5" i="3"/>
  <c r="C5" i="3" s="1"/>
  <c r="B121" i="3"/>
  <c r="C121" i="3" s="1"/>
  <c r="B120" i="3"/>
  <c r="C120" i="3" s="1"/>
  <c r="B141" i="3"/>
  <c r="C141" i="3" s="1"/>
  <c r="B47" i="3"/>
  <c r="C47" i="3" s="1"/>
  <c r="B20" i="3"/>
  <c r="C20" i="3" s="1"/>
  <c r="B105" i="3"/>
  <c r="C105" i="3" s="1"/>
  <c r="B57" i="3"/>
  <c r="C57" i="3" s="1"/>
  <c r="B72" i="3"/>
  <c r="C72" i="3" s="1"/>
  <c r="B133" i="3"/>
  <c r="C133" i="3" s="1"/>
  <c r="B131" i="3"/>
  <c r="C131" i="3" s="1"/>
  <c r="B102" i="3"/>
  <c r="C102" i="3" s="1"/>
  <c r="B75" i="3"/>
  <c r="C75" i="3" s="1"/>
  <c r="B63" i="3"/>
  <c r="C63" i="3" s="1"/>
  <c r="B117" i="3"/>
  <c r="C117" i="3" s="1"/>
  <c r="B73" i="3"/>
  <c r="C73" i="3" s="1"/>
  <c r="B137" i="3"/>
  <c r="C137" i="3" s="1"/>
  <c r="B101" i="3"/>
  <c r="C101" i="3" s="1"/>
  <c r="B27" i="3"/>
  <c r="C27" i="3" s="1"/>
  <c r="B156" i="3"/>
  <c r="C156" i="3" s="1"/>
  <c r="B99" i="3"/>
  <c r="C99" i="3" s="1"/>
  <c r="B161" i="3"/>
  <c r="C161" i="3" s="1"/>
  <c r="B176" i="3"/>
  <c r="C176" i="3" s="1"/>
  <c r="B181" i="3"/>
  <c r="C181" i="3" s="1"/>
  <c r="B81" i="3"/>
  <c r="C81" i="3" s="1"/>
  <c r="B123" i="3"/>
  <c r="C123" i="3" s="1"/>
  <c r="B14" i="3"/>
  <c r="C14" i="3" s="1"/>
  <c r="B74" i="3"/>
  <c r="C74" i="3" s="1"/>
  <c r="B41" i="3"/>
  <c r="C41" i="3" s="1"/>
  <c r="B163" i="3"/>
  <c r="C163" i="3" s="1"/>
  <c r="B91" i="3"/>
  <c r="C91" i="3" s="1"/>
  <c r="B119" i="3"/>
  <c r="C119" i="3" s="1"/>
  <c r="B25" i="3"/>
  <c r="C25" i="3" s="1"/>
  <c r="B149" i="3"/>
  <c r="C149" i="3" s="1"/>
  <c r="B55" i="3"/>
  <c r="C55" i="3" s="1"/>
  <c r="B79" i="3"/>
  <c r="C79" i="3" s="1"/>
  <c r="B78" i="3"/>
  <c r="C78" i="3" s="1"/>
  <c r="B90" i="3"/>
  <c r="C90" i="3" s="1"/>
  <c r="B147" i="3"/>
  <c r="C147" i="3" s="1"/>
  <c r="B92" i="3"/>
  <c r="C92" i="3" s="1"/>
  <c r="B65" i="3"/>
  <c r="C65" i="3" s="1"/>
  <c r="B155" i="3"/>
  <c r="C155" i="3" s="1"/>
  <c r="B100" i="3"/>
  <c r="C100" i="3" s="1"/>
  <c r="B28" i="3"/>
  <c r="C28" i="3" s="1"/>
  <c r="B64" i="3"/>
  <c r="C64" i="3" s="1"/>
  <c r="B167" i="3"/>
  <c r="C167" i="3" s="1"/>
  <c r="B172" i="3"/>
  <c r="C172" i="3" s="1"/>
  <c r="B136" i="3"/>
  <c r="C136" i="3" s="1"/>
  <c r="B53" i="3"/>
  <c r="C53" i="3" s="1"/>
  <c r="B130" i="3"/>
  <c r="C130" i="3" s="1"/>
  <c r="B30" i="3"/>
  <c r="C30" i="3" s="1"/>
  <c r="B44" i="3"/>
  <c r="C44" i="3" s="1"/>
  <c r="B106" i="3"/>
  <c r="C106" i="3" s="1"/>
  <c r="B125" i="3"/>
  <c r="C125" i="3" s="1"/>
  <c r="B164" i="3"/>
  <c r="C164" i="3" s="1"/>
  <c r="B111" i="3"/>
  <c r="C111" i="3" s="1"/>
  <c r="B24" i="3"/>
  <c r="C24" i="3" s="1"/>
  <c r="B169" i="3"/>
  <c r="C169" i="3" s="1"/>
  <c r="B39" i="3"/>
  <c r="C39" i="3" s="1"/>
  <c r="B180" i="3"/>
  <c r="C180" i="3" s="1"/>
  <c r="B171" i="3"/>
  <c r="C171" i="3" s="1"/>
  <c r="B83" i="3"/>
  <c r="C83" i="3" s="1"/>
  <c r="B4" i="3"/>
  <c r="C4" i="3" s="1"/>
  <c r="B49" i="3"/>
  <c r="C49" i="3" s="1"/>
  <c r="B7" i="3"/>
  <c r="C7" i="3" s="1"/>
  <c r="B42" i="3"/>
  <c r="C42" i="3" s="1"/>
  <c r="B69" i="3"/>
  <c r="C69" i="3" s="1"/>
  <c r="B107" i="3"/>
  <c r="C107" i="3" s="1"/>
  <c r="B62" i="3"/>
  <c r="C62" i="3" s="1"/>
  <c r="B175" i="3"/>
  <c r="C175" i="3" s="1"/>
  <c r="B45" i="3"/>
  <c r="C45" i="3" s="1"/>
  <c r="B50" i="3"/>
  <c r="C50" i="3" s="1"/>
  <c r="B95" i="3"/>
  <c r="C95" i="3" s="1"/>
  <c r="B93" i="3"/>
  <c r="C93" i="3" s="1"/>
  <c r="B67" i="3"/>
  <c r="C67" i="3" s="1"/>
  <c r="B97" i="3"/>
  <c r="C97" i="3" s="1"/>
  <c r="B77" i="3"/>
  <c r="C77" i="3" s="1"/>
  <c r="B151" i="3"/>
  <c r="C151" i="3" s="1"/>
  <c r="B10" i="3"/>
  <c r="C10" i="3" s="1"/>
  <c r="B170" i="3"/>
  <c r="C170" i="3" s="1"/>
  <c r="B138" i="3"/>
  <c r="C138" i="3" s="1"/>
  <c r="B157" i="3"/>
  <c r="C157" i="3" s="1"/>
  <c r="B51" i="3"/>
  <c r="C51" i="3" s="1"/>
  <c r="B52" i="3"/>
  <c r="C52" i="3" s="1"/>
  <c r="B32" i="3"/>
  <c r="C32" i="3" s="1"/>
  <c r="B179" i="3"/>
  <c r="C179" i="3" s="1"/>
  <c r="B70" i="3"/>
  <c r="C70" i="3" s="1"/>
  <c r="B8" i="3"/>
  <c r="C8" i="3" s="1"/>
  <c r="B109" i="3"/>
  <c r="C109" i="3" s="1"/>
  <c r="B46" i="3"/>
  <c r="C46" i="3" s="1"/>
  <c r="B26" i="3"/>
  <c r="C26" i="3" s="1"/>
  <c r="B54" i="3"/>
  <c r="C54" i="3" s="1"/>
  <c r="B144" i="3"/>
  <c r="C144" i="3" s="1"/>
  <c r="B127" i="3"/>
  <c r="C127" i="3" s="1"/>
  <c r="B174" i="3"/>
  <c r="C174" i="3" s="1"/>
  <c r="B143" i="3"/>
  <c r="C143" i="3" s="1"/>
  <c r="D67" i="3" l="1"/>
  <c r="D127" i="3"/>
  <c r="D20" i="3"/>
  <c r="D107" i="3"/>
  <c r="D146" i="3"/>
  <c r="D21" i="3"/>
  <c r="D29" i="3"/>
  <c r="D36" i="3"/>
  <c r="D128" i="3"/>
  <c r="D68" i="3"/>
  <c r="D80" i="3"/>
  <c r="D159" i="3"/>
  <c r="D65" i="3"/>
  <c r="D42" i="3"/>
  <c r="D93" i="3"/>
  <c r="D182" i="3"/>
  <c r="D92" i="3"/>
  <c r="D62" i="3"/>
  <c r="D157" i="3"/>
  <c r="D38" i="3"/>
  <c r="D149" i="3"/>
  <c r="D105" i="3"/>
  <c r="D72" i="3"/>
  <c r="D102" i="3"/>
  <c r="D167" i="3"/>
  <c r="D181" i="3"/>
  <c r="D49" i="3"/>
  <c r="D73" i="3"/>
  <c r="D69" i="3"/>
  <c r="D43" i="3"/>
  <c r="D3" i="3"/>
  <c r="D23" i="3"/>
  <c r="D109" i="3"/>
  <c r="D57" i="3"/>
  <c r="D4" i="3"/>
  <c r="D118" i="3"/>
  <c r="D161" i="3"/>
  <c r="D39" i="3"/>
  <c r="D135" i="3"/>
  <c r="D136" i="3"/>
  <c r="D104" i="3"/>
  <c r="D147" i="3"/>
  <c r="D156" i="3"/>
  <c r="D180" i="3"/>
  <c r="D63" i="3"/>
  <c r="D8" i="3"/>
  <c r="D152" i="3"/>
  <c r="D45" i="3"/>
  <c r="D5" i="3"/>
  <c r="D168" i="3"/>
  <c r="D66" i="3"/>
  <c r="D117" i="3"/>
  <c r="D116" i="3"/>
  <c r="D79" i="3"/>
  <c r="D96" i="3"/>
  <c r="D110" i="3"/>
  <c r="D170" i="3"/>
  <c r="D81" i="3"/>
  <c r="D142" i="3"/>
  <c r="D17" i="3"/>
  <c r="D97" i="3"/>
  <c r="D172" i="3"/>
  <c r="D70" i="3"/>
  <c r="D115" i="3"/>
  <c r="D12" i="3"/>
  <c r="D131" i="3"/>
  <c r="D86" i="3"/>
  <c r="D30" i="3"/>
  <c r="D9" i="3"/>
  <c r="D132" i="3"/>
  <c r="D164" i="3"/>
  <c r="D82" i="3"/>
  <c r="D25" i="3"/>
  <c r="D54" i="3"/>
  <c r="D91" i="3"/>
  <c r="D122" i="3"/>
  <c r="D37" i="3"/>
  <c r="D46" i="3"/>
  <c r="D177" i="3"/>
  <c r="D47" i="3"/>
  <c r="D160" i="3"/>
  <c r="D64" i="3"/>
  <c r="D103" i="3"/>
  <c r="D138" i="3"/>
  <c r="D175" i="3"/>
  <c r="D150" i="3"/>
  <c r="D106" i="3"/>
  <c r="D113" i="3"/>
  <c r="D44" i="3"/>
  <c r="D78" i="3"/>
  <c r="D123" i="3"/>
  <c r="D52" i="3"/>
  <c r="D48" i="3"/>
  <c r="D133" i="3"/>
  <c r="D155" i="3"/>
  <c r="D171" i="3"/>
  <c r="D75" i="3"/>
  <c r="D6" i="3"/>
  <c r="D84" i="3"/>
  <c r="D14" i="3"/>
  <c r="D10" i="3"/>
  <c r="D121" i="3"/>
  <c r="D13" i="3"/>
  <c r="D74" i="3"/>
  <c r="D61" i="3"/>
  <c r="D11" i="3"/>
  <c r="D19" i="3"/>
  <c r="D129" i="3"/>
  <c r="D60" i="3"/>
  <c r="D71" i="3"/>
  <c r="D169" i="3"/>
  <c r="D137" i="3"/>
  <c r="D51" i="3"/>
  <c r="D124" i="3"/>
  <c r="D151" i="3"/>
  <c r="D114" i="3"/>
  <c r="D24" i="3"/>
  <c r="D140" i="3"/>
  <c r="D153" i="3"/>
  <c r="D53" i="3"/>
  <c r="D85" i="3"/>
  <c r="D35" i="3"/>
  <c r="D139" i="3"/>
  <c r="D7" i="3"/>
  <c r="D148" i="3"/>
  <c r="D134" i="3"/>
  <c r="D163" i="3"/>
  <c r="D144" i="3"/>
  <c r="D108" i="3"/>
  <c r="D154" i="3"/>
  <c r="D56" i="3"/>
  <c r="D33" i="3"/>
  <c r="D119" i="3"/>
  <c r="D176" i="3"/>
  <c r="D112" i="3"/>
  <c r="D165" i="3"/>
  <c r="D88" i="3"/>
  <c r="D89" i="3"/>
  <c r="D83" i="3"/>
  <c r="D27" i="3"/>
  <c r="D101" i="3"/>
  <c r="D173" i="3"/>
  <c r="D16" i="3"/>
  <c r="D99" i="3"/>
  <c r="D145" i="3"/>
  <c r="D94" i="3"/>
  <c r="D41" i="3"/>
  <c r="D166" i="3"/>
  <c r="D174" i="3"/>
  <c r="D179" i="3"/>
  <c r="D125" i="3"/>
  <c r="D130" i="3"/>
  <c r="D40" i="3"/>
  <c r="D58" i="3"/>
  <c r="D120" i="3"/>
  <c r="D90" i="3"/>
  <c r="D55" i="3"/>
  <c r="D111" i="3"/>
  <c r="D100" i="3"/>
  <c r="D31" i="3"/>
  <c r="D126" i="3"/>
  <c r="D76" i="3"/>
  <c r="D18" i="3"/>
  <c r="D28" i="3"/>
  <c r="D162" i="3"/>
  <c r="D98" i="3"/>
  <c r="D77" i="3"/>
  <c r="D59" i="3"/>
  <c r="D158" i="3"/>
  <c r="D22" i="3"/>
  <c r="D143" i="3"/>
  <c r="D26" i="3"/>
  <c r="D178" i="3"/>
  <c r="D95" i="3"/>
  <c r="D50" i="3"/>
  <c r="D141" i="3"/>
  <c r="D32" i="3"/>
  <c r="G3" i="3"/>
  <c r="H59" i="1" s="1"/>
  <c r="D87" i="3"/>
  <c r="D34" i="3"/>
  <c r="D15" i="3"/>
</calcChain>
</file>

<file path=xl/sharedStrings.xml><?xml version="1.0" encoding="utf-8"?>
<sst xmlns="http://schemas.openxmlformats.org/spreadsheetml/2006/main" count="112" uniqueCount="77">
  <si>
    <t>Insumos necesarios</t>
  </si>
  <si>
    <t xml:space="preserve">En dolares </t>
  </si>
  <si>
    <t>En pesos</t>
  </si>
  <si>
    <t>Periodicidad</t>
  </si>
  <si>
    <t xml:space="preserve">Precio </t>
  </si>
  <si>
    <t>UNI</t>
  </si>
  <si>
    <t>MEN</t>
  </si>
  <si>
    <t>https://bibliotecadigital.ccb.org.co/bitstream/handle/11520/11194/100000204.pdf?sequence=1&amp;isAllowed=y</t>
  </si>
  <si>
    <t xml:space="preserve">Periodo </t>
  </si>
  <si>
    <t xml:space="preserve">Valor </t>
  </si>
  <si>
    <t>Valor presente</t>
  </si>
  <si>
    <t>Presente acumulado</t>
  </si>
  <si>
    <t>Id de item</t>
  </si>
  <si>
    <t>TRI</t>
  </si>
  <si>
    <t>ANU</t>
  </si>
  <si>
    <t>BIM</t>
  </si>
  <si>
    <t>SEM</t>
  </si>
  <si>
    <t>Suma</t>
  </si>
  <si>
    <t>Costos de personal</t>
  </si>
  <si>
    <t>Personal</t>
  </si>
  <si>
    <t>Ingenieros</t>
  </si>
  <si>
    <t>Q</t>
  </si>
  <si>
    <t>Administrativos</t>
  </si>
  <si>
    <t>Operacionales</t>
  </si>
  <si>
    <t>Total mensual</t>
  </si>
  <si>
    <t>Salario mensual</t>
  </si>
  <si>
    <t>VPN</t>
  </si>
  <si>
    <t>TIO anual</t>
  </si>
  <si>
    <t xml:space="preserve">TIO mensual </t>
  </si>
  <si>
    <t>Tasa de inflacion mensual</t>
  </si>
  <si>
    <t>Tasa de inflacion anual</t>
  </si>
  <si>
    <t>Porcentaje en prestaciones sociales</t>
  </si>
  <si>
    <t>Caso a analizar</t>
  </si>
  <si>
    <t>Caso en analisis</t>
  </si>
  <si>
    <t>Caso actual</t>
  </si>
  <si>
    <t xml:space="preserve">Hasta que año(max 15) </t>
  </si>
  <si>
    <t>https://cornershopapp.com/es-co/products/xyrs-fruver-f-mora-real-fresca-1bandeja</t>
  </si>
  <si>
    <t>Costos de importación</t>
  </si>
  <si>
    <t>Compra de par de silla</t>
  </si>
  <si>
    <t>Aduanas sobre el costo CIF</t>
  </si>
  <si>
    <t>CIF (Coste, seguro y flete al puerto de destino convenido)</t>
  </si>
  <si>
    <t>Compra de par de silla simple</t>
  </si>
  <si>
    <t>Porcentaje en silla simple</t>
  </si>
  <si>
    <t>Porcentaje en silla con reposabrazos</t>
  </si>
  <si>
    <t>Optimista</t>
  </si>
  <si>
    <t>Normal</t>
  </si>
  <si>
    <t>Pesimista</t>
  </si>
  <si>
    <t>Blow Molding Machine</t>
  </si>
  <si>
    <t>Madera</t>
  </si>
  <si>
    <t>Foam</t>
  </si>
  <si>
    <t>HDPE</t>
  </si>
  <si>
    <t>Tela</t>
  </si>
  <si>
    <t>Cortadora de tela</t>
  </si>
  <si>
    <t>Cortadora laser</t>
  </si>
  <si>
    <t>Cortadora de espuma</t>
  </si>
  <si>
    <t>Ingreso de sillas sin reposabrazos</t>
  </si>
  <si>
    <t>Ingreso de sillas con reposabrazos</t>
  </si>
  <si>
    <t>Pellets de SoftPVC</t>
  </si>
  <si>
    <t>Lamina de acero 304</t>
  </si>
  <si>
    <t>Numero de sillas</t>
  </si>
  <si>
    <t>Tornillos y tuercas</t>
  </si>
  <si>
    <t>Maquina de inyeccion de plastico</t>
  </si>
  <si>
    <t>Maquina de doblado</t>
  </si>
  <si>
    <t>Robot ABB para soldado</t>
  </si>
  <si>
    <t>Posicionador para soldado</t>
  </si>
  <si>
    <t xml:space="preserve">Numero de robots </t>
  </si>
  <si>
    <t>Robots de pick-place, taladrado, atornillado</t>
  </si>
  <si>
    <t>Perfiles cuadrados, y rectangulares</t>
  </si>
  <si>
    <t>PLC</t>
  </si>
  <si>
    <t>Numero de senales</t>
  </si>
  <si>
    <t>Modulo Fuente</t>
  </si>
  <si>
    <t>Numero de modulos</t>
  </si>
  <si>
    <t>Modulos de entrada digital</t>
  </si>
  <si>
    <t>Modulos de salida digital</t>
  </si>
  <si>
    <t>Probabilidad del evento</t>
  </si>
  <si>
    <t>Grapadora</t>
  </si>
  <si>
    <t>Mantenimiento de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</si>
</sst>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[$$-240A]#,##0.00;[Red]\([$$-240A]#,##0.00\)"/>
    <numFmt numFmtId="166" formatCode="_-&quot;$&quot;\ * #,##0_-;\-&quot;$&quot;\ * #,##0_-;_-&quot;$&quot;\ * &quot;-&quot;??_-;_-@_-"/>
    <numFmt numFmtId="167" formatCode="_-* #,##0_-;\-* #,##0_-;_-* &quot;-&quot;??_-;_-@_-"/>
    <numFmt numFmtId="168" formatCode="[$$-240A]#,##0;[Red]\([$$-240A]#,##0\)"/>
  </numFmts>
  <fonts count="8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0.79998168889431442"/>
      <name val="Arial"/>
      <family val="2"/>
    </font>
    <font>
      <b/>
      <sz val="11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166" fontId="0" fillId="0" borderId="0" xfId="4" applyNumberFormat="1" applyFont="1"/>
    <xf numFmtId="0" fontId="2" fillId="0" borderId="0" xfId="0" applyFont="1" applyBorder="1"/>
    <xf numFmtId="10" fontId="0" fillId="0" borderId="0" xfId="0" applyNumberFormat="1" applyBorder="1"/>
    <xf numFmtId="0" fontId="0" fillId="0" borderId="0" xfId="0" applyBorder="1"/>
    <xf numFmtId="43" fontId="0" fillId="0" borderId="0" xfId="3" applyFont="1"/>
    <xf numFmtId="0" fontId="2" fillId="0" borderId="0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10" fontId="2" fillId="0" borderId="5" xfId="0" applyNumberFormat="1" applyFont="1" applyBorder="1"/>
    <xf numFmtId="0" fontId="0" fillId="0" borderId="6" xfId="0" applyBorder="1"/>
    <xf numFmtId="10" fontId="2" fillId="0" borderId="7" xfId="0" applyNumberFormat="1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166" fontId="0" fillId="0" borderId="13" xfId="4" applyNumberFormat="1" applyFont="1" applyBorder="1"/>
    <xf numFmtId="166" fontId="0" fillId="0" borderId="14" xfId="4" applyNumberFormat="1" applyFont="1" applyBorder="1"/>
    <xf numFmtId="0" fontId="0" fillId="0" borderId="18" xfId="0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0" fillId="0" borderId="16" xfId="0" applyBorder="1"/>
    <xf numFmtId="0" fontId="2" fillId="0" borderId="18" xfId="0" applyFont="1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168" fontId="0" fillId="0" borderId="0" xfId="0" applyNumberFormat="1"/>
    <xf numFmtId="167" fontId="0" fillId="3" borderId="8" xfId="3" applyNumberFormat="1" applyFont="1" applyFill="1" applyBorder="1"/>
    <xf numFmtId="166" fontId="0" fillId="3" borderId="3" xfId="4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9" fontId="0" fillId="0" borderId="0" xfId="3" applyNumberFormat="1" applyFont="1"/>
    <xf numFmtId="167" fontId="0" fillId="0" borderId="0" xfId="3" applyNumberFormat="1" applyFont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0" fillId="3" borderId="14" xfId="0" applyNumberFormat="1" applyFill="1" applyBorder="1"/>
    <xf numFmtId="0" fontId="0" fillId="0" borderId="25" xfId="0" applyBorder="1"/>
    <xf numFmtId="168" fontId="0" fillId="0" borderId="1" xfId="0" applyNumberFormat="1" applyBorder="1"/>
    <xf numFmtId="10" fontId="0" fillId="3" borderId="20" xfId="0" applyNumberFormat="1" applyFill="1" applyBorder="1"/>
    <xf numFmtId="10" fontId="0" fillId="3" borderId="14" xfId="0" applyNumberFormat="1" applyFill="1" applyBorder="1"/>
    <xf numFmtId="0" fontId="2" fillId="0" borderId="21" xfId="0" applyFont="1" applyFill="1" applyBorder="1"/>
    <xf numFmtId="10" fontId="0" fillId="3" borderId="17" xfId="5" applyNumberFormat="1" applyFont="1" applyFill="1" applyBorder="1"/>
    <xf numFmtId="9" fontId="0" fillId="4" borderId="12" xfId="5" applyFont="1" applyFill="1" applyBorder="1"/>
    <xf numFmtId="167" fontId="0" fillId="4" borderId="9" xfId="3" applyNumberFormat="1" applyFont="1" applyFill="1" applyBorder="1"/>
    <xf numFmtId="166" fontId="0" fillId="4" borderId="1" xfId="4" applyNumberFormat="1" applyFont="1" applyFill="1" applyBorder="1"/>
    <xf numFmtId="0" fontId="3" fillId="0" borderId="0" xfId="2"/>
    <xf numFmtId="168" fontId="0" fillId="3" borderId="1" xfId="0" applyNumberFormat="1" applyFill="1" applyBorder="1"/>
    <xf numFmtId="9" fontId="0" fillId="5" borderId="12" xfId="5" applyFont="1" applyFill="1" applyBorder="1"/>
    <xf numFmtId="165" fontId="5" fillId="3" borderId="1" xfId="0" applyNumberFormat="1" applyFont="1" applyFill="1" applyBorder="1"/>
    <xf numFmtId="17" fontId="0" fillId="0" borderId="0" xfId="0" applyNumberFormat="1"/>
    <xf numFmtId="0" fontId="0" fillId="0" borderId="9" xfId="0" applyBorder="1"/>
    <xf numFmtId="0" fontId="2" fillId="0" borderId="26" xfId="0" applyFont="1" applyBorder="1"/>
    <xf numFmtId="0" fontId="2" fillId="0" borderId="27" xfId="0" applyFont="1" applyBorder="1"/>
    <xf numFmtId="0" fontId="0" fillId="0" borderId="19" xfId="0" applyBorder="1"/>
    <xf numFmtId="165" fontId="0" fillId="0" borderId="20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28" xfId="0" applyFont="1" applyFill="1" applyBorder="1"/>
    <xf numFmtId="0" fontId="2" fillId="0" borderId="29" xfId="0" applyFont="1" applyBorder="1"/>
    <xf numFmtId="0" fontId="0" fillId="0" borderId="30" xfId="0" applyBorder="1"/>
    <xf numFmtId="0" fontId="0" fillId="0" borderId="15" xfId="0" applyBorder="1"/>
    <xf numFmtId="168" fontId="5" fillId="3" borderId="1" xfId="0" applyNumberFormat="1" applyFont="1" applyFill="1" applyBorder="1"/>
    <xf numFmtId="0" fontId="0" fillId="0" borderId="1" xfId="0" applyFont="1" applyFill="1" applyBorder="1"/>
    <xf numFmtId="10" fontId="6" fillId="0" borderId="0" xfId="0" applyNumberFormat="1" applyFont="1" applyFill="1" applyBorder="1"/>
    <xf numFmtId="0" fontId="0" fillId="0" borderId="0" xfId="0" applyFill="1" applyBorder="1"/>
    <xf numFmtId="10" fontId="0" fillId="0" borderId="17" xfId="0" applyNumberFormat="1" applyFill="1" applyBorder="1"/>
    <xf numFmtId="0" fontId="7" fillId="0" borderId="0" xfId="0" applyFont="1"/>
    <xf numFmtId="9" fontId="0" fillId="0" borderId="0" xfId="5" applyFont="1" applyFill="1" applyBorder="1"/>
    <xf numFmtId="0" fontId="0" fillId="4" borderId="17" xfId="0" applyFill="1" applyBorder="1"/>
    <xf numFmtId="0" fontId="2" fillId="0" borderId="4" xfId="0" applyFont="1" applyFill="1" applyBorder="1"/>
    <xf numFmtId="0" fontId="2" fillId="0" borderId="31" xfId="0" applyFont="1" applyFill="1" applyBorder="1"/>
    <xf numFmtId="0" fontId="0" fillId="0" borderId="24" xfId="0" applyBorder="1"/>
    <xf numFmtId="0" fontId="0" fillId="0" borderId="6" xfId="0" applyFill="1" applyBorder="1"/>
    <xf numFmtId="0" fontId="2" fillId="0" borderId="0" xfId="0" applyFont="1"/>
    <xf numFmtId="0" fontId="0" fillId="0" borderId="32" xfId="0" applyBorder="1"/>
    <xf numFmtId="164" fontId="0" fillId="0" borderId="33" xfId="4" applyFont="1" applyBorder="1"/>
    <xf numFmtId="164" fontId="0" fillId="0" borderId="34" xfId="4" applyFont="1" applyBorder="1"/>
    <xf numFmtId="164" fontId="2" fillId="0" borderId="34" xfId="4" applyFont="1" applyBorder="1"/>
    <xf numFmtId="164" fontId="0" fillId="0" borderId="35" xfId="4" applyFont="1" applyBorder="1"/>
    <xf numFmtId="0" fontId="0" fillId="0" borderId="11" xfId="0" applyBorder="1"/>
    <xf numFmtId="0" fontId="0" fillId="0" borderId="12" xfId="0" applyBorder="1"/>
    <xf numFmtId="43" fontId="2" fillId="0" borderId="11" xfId="0" applyNumberFormat="1" applyFont="1" applyBorder="1"/>
    <xf numFmtId="167" fontId="0" fillId="0" borderId="15" xfId="3" applyNumberFormat="1" applyFont="1" applyBorder="1" applyAlignment="1">
      <alignment vertical="center"/>
    </xf>
    <xf numFmtId="167" fontId="0" fillId="0" borderId="16" xfId="3" applyNumberFormat="1" applyFont="1" applyBorder="1" applyAlignment="1">
      <alignment vertical="center"/>
    </xf>
    <xf numFmtId="167" fontId="0" fillId="0" borderId="17" xfId="3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6">
    <cellStyle name="Hipervínculo" xfId="2" builtinId="8"/>
    <cellStyle name="Millares" xfId="3" builtinId="3"/>
    <cellStyle name="Moneda" xfId="4" builtinId="4"/>
    <cellStyle name="Normal" xfId="0" builtinId="0"/>
    <cellStyle name="Porcentaje" xfId="5" builtinId="5"/>
    <cellStyle name="Texto explicativo" xfId="1" builtinId="53" customBuiltin="1"/>
  </cellStyles>
  <dxfs count="7">
    <dxf>
      <numFmt numFmtId="165" formatCode="[$$-240A]#,##0.00;[Red]\([$$-240A]#,##0.00\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6</xdr:col>
      <xdr:colOff>581641</xdr:colOff>
      <xdr:row>14</xdr:row>
      <xdr:rowOff>95580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08629-4E5E-4F01-923E-BDEBD65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410691" cy="2362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19395-4A7C-4C21-878C-1A3A72A335C2}" name="Tabelle1" displayName="Tabelle1" ref="A20:F54" totalsRowShown="0" headerRowDxfId="6" tableBorderDxfId="5">
  <autoFilter ref="A20:F54" xr:uid="{69D19395-4A7C-4C21-878C-1A3A72A335C2}"/>
  <tableColumns count="6">
    <tableColumn id="1" xr3:uid="{504B1ED4-413B-4CFB-B3AD-E3385563538C}" name="Id de item" dataDxfId="4"/>
    <tableColumn id="2" xr3:uid="{F65FDCF2-BBFA-49BF-B42C-821E81068D3F}" name="Insumos necesarios"/>
    <tableColumn id="3" xr3:uid="{51F26159-C702-4CE3-B1F2-F22E99911975}" name="En dolares " dataDxfId="3"/>
    <tableColumn id="4" xr3:uid="{89B74426-B812-4638-8278-828E0F583A17}" name="En pesos" dataDxfId="2"/>
    <tableColumn id="5" xr3:uid="{24973B68-BF82-4D30-8D31-7DB22836D7EE}" name="Periodicidad" dataDxfId="1"/>
    <tableColumn id="6" xr3:uid="{735AADA6-D5BA-41F6-84DA-9E09946E99F9}" name="Precio " dataDxfId="0">
      <calculatedColumnFormula>C21*4000+D21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rnershopapp.com/es-co/products/xyrs-fruver-f-mora-real-fresca-1bandeja" TargetMode="External"/><Relationship Id="rId1" Type="http://schemas.openxmlformats.org/officeDocument/2006/relationships/hyperlink" Target="https://bibliotecadigital.ccb.org.co/bitstream/handle/11520/11194/1000002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24" zoomScale="65" zoomScaleNormal="65" workbookViewId="0">
      <selection activeCell="C67" sqref="C67"/>
    </sheetView>
  </sheetViews>
  <sheetFormatPr baseColWidth="10" defaultColWidth="9.140625" defaultRowHeight="12.75"/>
  <cols>
    <col min="1" max="1" width="12.42578125" customWidth="1"/>
    <col min="2" max="2" width="69.5703125" bestFit="1" customWidth="1"/>
    <col min="3" max="3" width="27.140625" bestFit="1" customWidth="1"/>
    <col min="4" max="4" width="18.5703125" bestFit="1" customWidth="1"/>
    <col min="5" max="5" width="46" bestFit="1" customWidth="1"/>
    <col min="6" max="6" width="33" customWidth="1"/>
    <col min="7" max="7" width="40.5703125" bestFit="1" customWidth="1"/>
    <col min="8" max="8" width="23.42578125" bestFit="1" customWidth="1"/>
    <col min="9" max="9" width="40.7109375" bestFit="1" customWidth="1"/>
    <col min="10" max="10" width="30" bestFit="1" customWidth="1"/>
    <col min="11" max="11" width="24.5703125" bestFit="1" customWidth="1"/>
    <col min="12" max="12" width="42.5703125" bestFit="1" customWidth="1"/>
    <col min="13" max="1026" width="11.5703125"/>
  </cols>
  <sheetData>
    <row r="1" spans="2:9" ht="13.5" thickBot="1">
      <c r="B1" s="37" t="s">
        <v>41</v>
      </c>
      <c r="C1" s="75">
        <v>35</v>
      </c>
      <c r="D1" s="6"/>
      <c r="E1" s="6"/>
      <c r="F1" s="6"/>
      <c r="G1" s="6"/>
    </row>
    <row r="2" spans="2:9" ht="13.5" thickBot="1">
      <c r="B2" s="22" t="s">
        <v>38</v>
      </c>
      <c r="C2" s="75">
        <v>45</v>
      </c>
      <c r="D2" s="4"/>
      <c r="E2" s="4"/>
      <c r="F2" s="6"/>
      <c r="G2" s="6"/>
    </row>
    <row r="3" spans="2:9" ht="13.5" thickBot="1">
      <c r="F3" s="71"/>
      <c r="G3" s="71"/>
      <c r="I3" s="28" t="s">
        <v>31</v>
      </c>
    </row>
    <row r="4" spans="2:9" ht="13.5" thickBot="1">
      <c r="B4" s="20"/>
      <c r="C4" s="23" t="s">
        <v>39</v>
      </c>
      <c r="D4" s="6"/>
      <c r="E4" s="71"/>
      <c r="F4" s="71"/>
      <c r="G4" s="71"/>
      <c r="I4" s="47">
        <v>0.25</v>
      </c>
    </row>
    <row r="5" spans="2:9" ht="15.75" thickBot="1">
      <c r="B5" s="22" t="s">
        <v>37</v>
      </c>
      <c r="C5" s="72">
        <v>0.36599999999999999</v>
      </c>
      <c r="D5" s="73" t="s">
        <v>40</v>
      </c>
      <c r="E5" s="71"/>
      <c r="F5" s="71"/>
      <c r="G5" s="71"/>
    </row>
    <row r="6" spans="2:9">
      <c r="B6" s="6"/>
      <c r="C6" s="70"/>
      <c r="D6" s="70"/>
      <c r="E6" s="71"/>
      <c r="F6" s="4"/>
      <c r="G6" s="4"/>
    </row>
    <row r="7" spans="2:9" ht="13.5" thickBot="1">
      <c r="B7" s="2"/>
      <c r="C7" s="3"/>
      <c r="D7" s="3"/>
      <c r="E7" s="4"/>
    </row>
    <row r="8" spans="2:9" ht="13.5" thickBot="1">
      <c r="B8" s="13" t="s">
        <v>19</v>
      </c>
      <c r="C8" s="12" t="s">
        <v>21</v>
      </c>
      <c r="D8" s="10" t="s">
        <v>25</v>
      </c>
      <c r="E8" s="11"/>
      <c r="G8" s="6"/>
      <c r="H8" s="71"/>
      <c r="I8" s="6"/>
    </row>
    <row r="9" spans="2:9">
      <c r="B9" s="14" t="s">
        <v>20</v>
      </c>
      <c r="C9" s="30">
        <v>4</v>
      </c>
      <c r="D9" s="31">
        <v>750</v>
      </c>
      <c r="E9" s="18">
        <f>D9*C9</f>
        <v>3000</v>
      </c>
      <c r="F9" s="54"/>
      <c r="G9" s="74"/>
      <c r="H9" s="71"/>
      <c r="I9" s="74"/>
    </row>
    <row r="10" spans="2:9" ht="13.5" thickBot="1">
      <c r="B10" s="15" t="s">
        <v>22</v>
      </c>
      <c r="C10" s="48">
        <v>4</v>
      </c>
      <c r="D10" s="49">
        <v>370</v>
      </c>
      <c r="E10" s="19">
        <f t="shared" ref="E10:E11" si="0">D10*C10</f>
        <v>1480</v>
      </c>
    </row>
    <row r="11" spans="2:9">
      <c r="B11" s="16" t="s">
        <v>23</v>
      </c>
      <c r="C11" s="48">
        <v>11</v>
      </c>
      <c r="D11" s="49">
        <v>300</v>
      </c>
      <c r="E11" s="19">
        <f t="shared" si="0"/>
        <v>3300</v>
      </c>
      <c r="G11" s="28" t="s">
        <v>42</v>
      </c>
      <c r="I11" s="28" t="s">
        <v>43</v>
      </c>
    </row>
    <row r="12" spans="2:9" ht="13.5" thickBot="1">
      <c r="B12" s="17" t="s">
        <v>24</v>
      </c>
      <c r="C12" s="89">
        <f>SUM(E9:E11)</f>
        <v>7780</v>
      </c>
      <c r="D12" s="90"/>
      <c r="E12" s="91"/>
      <c r="G12" s="52">
        <v>0.6</v>
      </c>
      <c r="I12" s="52">
        <v>0.4</v>
      </c>
    </row>
    <row r="13" spans="2:9" ht="13.5" thickBot="1">
      <c r="F13" s="5"/>
    </row>
    <row r="14" spans="2:9" ht="13.5" thickBot="1">
      <c r="B14" s="77" t="s">
        <v>59</v>
      </c>
      <c r="C14" s="78">
        <v>850</v>
      </c>
      <c r="F14" s="5"/>
      <c r="H14" s="62">
        <f>+I12+G12</f>
        <v>1</v>
      </c>
    </row>
    <row r="15" spans="2:9" ht="13.5" thickBot="1">
      <c r="B15" s="77" t="s">
        <v>65</v>
      </c>
      <c r="C15" s="78">
        <v>15</v>
      </c>
      <c r="D15" s="80" t="s">
        <v>71</v>
      </c>
      <c r="F15" s="34"/>
      <c r="G15" s="6"/>
    </row>
    <row r="16" spans="2:9" ht="13.5" thickBot="1">
      <c r="B16" s="76" t="s">
        <v>69</v>
      </c>
      <c r="C16" s="79">
        <v>500</v>
      </c>
      <c r="D16">
        <f>ROUND(C16/16,0)</f>
        <v>31</v>
      </c>
      <c r="G16" s="74"/>
    </row>
    <row r="18" spans="1:12" ht="13.5" thickBot="1">
      <c r="B18" s="6"/>
      <c r="C18" s="35"/>
      <c r="D18" s="35"/>
      <c r="E18" s="35"/>
    </row>
    <row r="19" spans="1:12" ht="13.5" thickBot="1">
      <c r="F19" s="9" t="s">
        <v>32</v>
      </c>
      <c r="G19" s="36">
        <v>2</v>
      </c>
      <c r="H19" t="s">
        <v>44</v>
      </c>
      <c r="I19" t="s">
        <v>45</v>
      </c>
      <c r="J19" t="s">
        <v>46</v>
      </c>
    </row>
    <row r="20" spans="1:12" ht="13.5" thickBot="1">
      <c r="A20" s="65" t="s">
        <v>12</v>
      </c>
      <c r="B20" s="56" t="s">
        <v>0</v>
      </c>
      <c r="C20" s="56" t="s">
        <v>1</v>
      </c>
      <c r="D20" s="56" t="s">
        <v>2</v>
      </c>
      <c r="E20" s="56" t="s">
        <v>3</v>
      </c>
      <c r="F20" s="57" t="s">
        <v>4</v>
      </c>
      <c r="G20" s="37" t="s">
        <v>33</v>
      </c>
      <c r="H20" s="38">
        <v>1</v>
      </c>
      <c r="I20" s="38">
        <v>2</v>
      </c>
      <c r="J20" s="38">
        <v>3</v>
      </c>
      <c r="K20" s="38">
        <v>4</v>
      </c>
      <c r="L20" s="39">
        <v>5</v>
      </c>
    </row>
    <row r="21" spans="1:12">
      <c r="A21" s="66">
        <v>1</v>
      </c>
      <c r="B21" t="s">
        <v>47</v>
      </c>
      <c r="C21" s="68">
        <v>-80000</v>
      </c>
      <c r="D21" s="68"/>
      <c r="E21" s="58" t="s">
        <v>5</v>
      </c>
      <c r="F21" s="59">
        <f t="shared" ref="F21:F54" si="1">C21*4000+D21</f>
        <v>-320000000</v>
      </c>
      <c r="G21" s="55">
        <f t="shared" ref="G21:G45" si="2">HLOOKUP($G$19,$H$20:$L$54,A21+1)</f>
        <v>-320000000</v>
      </c>
      <c r="H21" s="33">
        <f>I21*0.8</f>
        <v>-256000000</v>
      </c>
      <c r="I21" s="33">
        <f>Tabelle1[[#This Row],[Precio ]]</f>
        <v>-320000000</v>
      </c>
      <c r="J21" s="33">
        <f>I21*(1+0.1)</f>
        <v>-352000000</v>
      </c>
      <c r="K21" s="33"/>
      <c r="L21" s="40"/>
    </row>
    <row r="22" spans="1:12">
      <c r="A22" s="55">
        <v>2</v>
      </c>
      <c r="B22" s="8" t="s">
        <v>48</v>
      </c>
      <c r="C22" s="68"/>
      <c r="D22" s="68">
        <f>-10000*80</f>
        <v>-800000</v>
      </c>
      <c r="E22" s="8" t="s">
        <v>6</v>
      </c>
      <c r="F22" s="60">
        <f t="shared" si="1"/>
        <v>-800000</v>
      </c>
      <c r="G22" s="55">
        <f t="shared" si="2"/>
        <v>-800000</v>
      </c>
      <c r="H22" s="33">
        <f t="shared" ref="H22:H53" si="3">I22*0.8</f>
        <v>-640000</v>
      </c>
      <c r="I22" s="33">
        <f>Tabelle1[[#This Row],[Precio ]]</f>
        <v>-800000</v>
      </c>
      <c r="J22" s="33">
        <f t="shared" ref="J22:J53" si="4">I22*(1+0.1)</f>
        <v>-880000.00000000012</v>
      </c>
      <c r="K22" s="33"/>
      <c r="L22" s="40"/>
    </row>
    <row r="23" spans="1:12">
      <c r="A23" s="55">
        <v>3</v>
      </c>
      <c r="B23" s="8" t="s">
        <v>49</v>
      </c>
      <c r="C23" s="68">
        <f>-200*20</f>
        <v>-4000</v>
      </c>
      <c r="D23" s="68"/>
      <c r="E23" s="8" t="s">
        <v>6</v>
      </c>
      <c r="F23" s="60">
        <f t="shared" si="1"/>
        <v>-16000000</v>
      </c>
      <c r="G23" s="55">
        <f t="shared" si="2"/>
        <v>-16000000</v>
      </c>
      <c r="H23" s="33">
        <f t="shared" si="3"/>
        <v>-12800000</v>
      </c>
      <c r="I23" s="33">
        <f>Tabelle1[[#This Row],[Precio ]]</f>
        <v>-16000000</v>
      </c>
      <c r="J23" s="33">
        <f t="shared" si="4"/>
        <v>-17600000</v>
      </c>
      <c r="K23" s="33"/>
      <c r="L23" s="40"/>
    </row>
    <row r="24" spans="1:12">
      <c r="A24" s="55">
        <v>4</v>
      </c>
      <c r="B24" s="8" t="s">
        <v>50</v>
      </c>
      <c r="C24" s="68">
        <v>-1500</v>
      </c>
      <c r="D24" s="68"/>
      <c r="E24" s="8" t="s">
        <v>6</v>
      </c>
      <c r="F24" s="60">
        <f t="shared" si="1"/>
        <v>-6000000</v>
      </c>
      <c r="G24" s="55">
        <f t="shared" si="2"/>
        <v>-6000000</v>
      </c>
      <c r="H24" s="33">
        <f t="shared" si="3"/>
        <v>-4800000</v>
      </c>
      <c r="I24" s="33">
        <f>Tabelle1[[#This Row],[Precio ]]</f>
        <v>-6000000</v>
      </c>
      <c r="J24" s="33">
        <f t="shared" si="4"/>
        <v>-6600000.0000000009</v>
      </c>
      <c r="K24" s="33"/>
      <c r="L24" s="40"/>
    </row>
    <row r="25" spans="1:12">
      <c r="A25" s="55">
        <v>5</v>
      </c>
      <c r="B25" s="8" t="s">
        <v>51</v>
      </c>
      <c r="C25" s="68"/>
      <c r="D25" s="68">
        <f>-10000*80</f>
        <v>-800000</v>
      </c>
      <c r="E25" s="8" t="s">
        <v>6</v>
      </c>
      <c r="F25" s="60">
        <f t="shared" si="1"/>
        <v>-800000</v>
      </c>
      <c r="G25" s="55">
        <f t="shared" si="2"/>
        <v>-800000</v>
      </c>
      <c r="H25" s="33">
        <f t="shared" si="3"/>
        <v>-640000</v>
      </c>
      <c r="I25" s="33">
        <f>Tabelle1[[#This Row],[Precio ]]</f>
        <v>-800000</v>
      </c>
      <c r="J25" s="33">
        <f t="shared" si="4"/>
        <v>-880000.00000000012</v>
      </c>
      <c r="K25" s="33"/>
      <c r="L25" s="40"/>
    </row>
    <row r="26" spans="1:12">
      <c r="A26" s="55">
        <v>6</v>
      </c>
      <c r="B26" s="8" t="s">
        <v>52</v>
      </c>
      <c r="C26" s="68">
        <v>-15000</v>
      </c>
      <c r="D26" s="68"/>
      <c r="E26" s="8" t="s">
        <v>5</v>
      </c>
      <c r="F26" s="60">
        <f t="shared" si="1"/>
        <v>-60000000</v>
      </c>
      <c r="G26" s="55">
        <f t="shared" si="2"/>
        <v>-60000000</v>
      </c>
      <c r="H26" s="33">
        <f t="shared" si="3"/>
        <v>-48000000</v>
      </c>
      <c r="I26" s="33">
        <f>Tabelle1[[#This Row],[Precio ]]</f>
        <v>-60000000</v>
      </c>
      <c r="J26" s="33">
        <f t="shared" si="4"/>
        <v>-66000000.000000007</v>
      </c>
      <c r="K26" s="33"/>
      <c r="L26" s="40"/>
    </row>
    <row r="27" spans="1:12">
      <c r="A27" s="55">
        <v>7</v>
      </c>
      <c r="B27" s="8" t="s">
        <v>53</v>
      </c>
      <c r="C27" s="68">
        <v>-15000</v>
      </c>
      <c r="D27" s="68"/>
      <c r="E27" s="8" t="s">
        <v>5</v>
      </c>
      <c r="F27" s="60">
        <f t="shared" si="1"/>
        <v>-60000000</v>
      </c>
      <c r="G27" s="55">
        <f t="shared" si="2"/>
        <v>-60000000</v>
      </c>
      <c r="H27" s="33">
        <f t="shared" si="3"/>
        <v>-48000000</v>
      </c>
      <c r="I27" s="33">
        <f>Tabelle1[[#This Row],[Precio ]]</f>
        <v>-60000000</v>
      </c>
      <c r="J27" s="33">
        <f t="shared" si="4"/>
        <v>-66000000.000000007</v>
      </c>
      <c r="K27" s="33"/>
      <c r="L27" s="40"/>
    </row>
    <row r="28" spans="1:12">
      <c r="A28" s="55">
        <v>8</v>
      </c>
      <c r="B28" s="8" t="s">
        <v>54</v>
      </c>
      <c r="C28" s="68">
        <v>-7000</v>
      </c>
      <c r="D28" s="68"/>
      <c r="E28" s="8" t="s">
        <v>5</v>
      </c>
      <c r="F28" s="60">
        <f t="shared" si="1"/>
        <v>-28000000</v>
      </c>
      <c r="G28" s="55">
        <f t="shared" si="2"/>
        <v>-28000000</v>
      </c>
      <c r="H28" s="33">
        <f t="shared" si="3"/>
        <v>-22400000</v>
      </c>
      <c r="I28" s="33">
        <f>Tabelle1[[#This Row],[Precio ]]</f>
        <v>-28000000</v>
      </c>
      <c r="J28" s="33">
        <f t="shared" si="4"/>
        <v>-30800000.000000004</v>
      </c>
      <c r="K28" s="33"/>
      <c r="L28" s="40"/>
    </row>
    <row r="29" spans="1:12">
      <c r="A29" s="55">
        <v>9</v>
      </c>
      <c r="B29" s="63" t="s">
        <v>55</v>
      </c>
      <c r="C29" s="68">
        <f>C14*G12*C1</f>
        <v>17850</v>
      </c>
      <c r="D29" s="68"/>
      <c r="E29" s="8" t="s">
        <v>6</v>
      </c>
      <c r="F29" s="60">
        <f t="shared" si="1"/>
        <v>71400000</v>
      </c>
      <c r="G29" s="55">
        <f t="shared" si="2"/>
        <v>71400000</v>
      </c>
      <c r="H29" s="33">
        <f>I29*1.2</f>
        <v>85680000</v>
      </c>
      <c r="I29" s="33">
        <f>Tabelle1[[#This Row],[Precio ]]</f>
        <v>71400000</v>
      </c>
      <c r="J29" s="33">
        <f>I29*(1-0.1)</f>
        <v>64260000</v>
      </c>
      <c r="K29" s="33"/>
      <c r="L29" s="40"/>
    </row>
    <row r="30" spans="1:12">
      <c r="A30" s="55">
        <v>10</v>
      </c>
      <c r="B30" s="63" t="s">
        <v>56</v>
      </c>
      <c r="C30" s="68">
        <f>C14*I12*C2</f>
        <v>15300</v>
      </c>
      <c r="D30" s="68"/>
      <c r="E30" s="8" t="s">
        <v>6</v>
      </c>
      <c r="F30" s="60">
        <f t="shared" si="1"/>
        <v>61200000</v>
      </c>
      <c r="G30" s="55">
        <f t="shared" si="2"/>
        <v>61200000</v>
      </c>
      <c r="H30" s="33">
        <f>I30*1.2</f>
        <v>73440000</v>
      </c>
      <c r="I30" s="33">
        <f>Tabelle1[[#This Row],[Precio ]]</f>
        <v>61200000</v>
      </c>
      <c r="J30" s="33">
        <f>I30*(1-0.1)</f>
        <v>55080000</v>
      </c>
      <c r="K30" s="33"/>
      <c r="L30" s="40"/>
    </row>
    <row r="31" spans="1:12">
      <c r="A31" s="55">
        <v>11</v>
      </c>
      <c r="B31" s="8" t="s">
        <v>18</v>
      </c>
      <c r="C31" s="68">
        <f>-C12*(1+I4)</f>
        <v>-9725</v>
      </c>
      <c r="D31" s="68"/>
      <c r="E31" s="8" t="s">
        <v>6</v>
      </c>
      <c r="F31" s="60">
        <f t="shared" si="1"/>
        <v>-38900000</v>
      </c>
      <c r="G31" s="55">
        <f t="shared" si="2"/>
        <v>-38900000</v>
      </c>
      <c r="H31" s="33">
        <f t="shared" si="3"/>
        <v>-31120000</v>
      </c>
      <c r="I31" s="33">
        <f>Tabelle1[[#This Row],[Precio ]]</f>
        <v>-38900000</v>
      </c>
      <c r="J31" s="33">
        <f t="shared" si="4"/>
        <v>-42790000</v>
      </c>
      <c r="K31" s="33"/>
      <c r="L31" s="40"/>
    </row>
    <row r="32" spans="1:12">
      <c r="A32" s="55">
        <v>12</v>
      </c>
      <c r="B32" s="8" t="s">
        <v>57</v>
      </c>
      <c r="C32" s="68">
        <v>-900</v>
      </c>
      <c r="D32" s="68"/>
      <c r="E32" s="8" t="s">
        <v>6</v>
      </c>
      <c r="F32" s="60">
        <f t="shared" si="1"/>
        <v>-3600000</v>
      </c>
      <c r="G32" s="55">
        <f t="shared" si="2"/>
        <v>-3600000</v>
      </c>
      <c r="H32" s="33">
        <f t="shared" si="3"/>
        <v>-2880000</v>
      </c>
      <c r="I32" s="33">
        <f>Tabelle1[[#This Row],[Precio ]]</f>
        <v>-3600000</v>
      </c>
      <c r="J32" s="33">
        <f t="shared" si="4"/>
        <v>-3960000.0000000005</v>
      </c>
      <c r="K32" s="33"/>
      <c r="L32" s="40"/>
    </row>
    <row r="33" spans="1:12">
      <c r="A33" s="55">
        <v>13</v>
      </c>
      <c r="B33" s="8" t="s">
        <v>58</v>
      </c>
      <c r="C33" s="68">
        <v>-1590</v>
      </c>
      <c r="D33" s="68"/>
      <c r="E33" s="8" t="s">
        <v>13</v>
      </c>
      <c r="F33" s="60">
        <f t="shared" si="1"/>
        <v>-6360000</v>
      </c>
      <c r="G33" s="55">
        <f t="shared" si="2"/>
        <v>-6360000</v>
      </c>
      <c r="H33" s="33">
        <f t="shared" si="3"/>
        <v>-5088000</v>
      </c>
      <c r="I33" s="33">
        <f>Tabelle1[[#This Row],[Precio ]]</f>
        <v>-6360000</v>
      </c>
      <c r="J33" s="33">
        <f t="shared" si="4"/>
        <v>-6996000.0000000009</v>
      </c>
      <c r="K33" s="33"/>
      <c r="L33" s="40"/>
    </row>
    <row r="34" spans="1:12">
      <c r="A34" s="55">
        <v>14</v>
      </c>
      <c r="B34" s="8" t="s">
        <v>60</v>
      </c>
      <c r="C34" s="68">
        <v>-250</v>
      </c>
      <c r="D34" s="68"/>
      <c r="E34" s="8" t="s">
        <v>6</v>
      </c>
      <c r="F34" s="60">
        <f t="shared" si="1"/>
        <v>-1000000</v>
      </c>
      <c r="G34" s="55">
        <f t="shared" si="2"/>
        <v>-1000000</v>
      </c>
      <c r="H34" s="33">
        <f t="shared" si="3"/>
        <v>-800000</v>
      </c>
      <c r="I34" s="33">
        <f>Tabelle1[[#This Row],[Precio ]]</f>
        <v>-1000000</v>
      </c>
      <c r="J34" s="33">
        <f t="shared" si="4"/>
        <v>-1100000</v>
      </c>
      <c r="K34" s="33"/>
      <c r="L34" s="40"/>
    </row>
    <row r="35" spans="1:12">
      <c r="A35" s="55">
        <v>15</v>
      </c>
      <c r="B35" s="63" t="s">
        <v>61</v>
      </c>
      <c r="C35" s="68">
        <v>-30000</v>
      </c>
      <c r="D35" s="68"/>
      <c r="E35" s="8" t="s">
        <v>5</v>
      </c>
      <c r="F35" s="60">
        <f t="shared" si="1"/>
        <v>-120000000</v>
      </c>
      <c r="G35" s="55">
        <f t="shared" si="2"/>
        <v>-120000000</v>
      </c>
      <c r="H35" s="33">
        <f t="shared" si="3"/>
        <v>-96000000</v>
      </c>
      <c r="I35" s="33">
        <f>Tabelle1[[#This Row],[Precio ]]</f>
        <v>-120000000</v>
      </c>
      <c r="J35" s="33">
        <f t="shared" si="4"/>
        <v>-132000000.00000001</v>
      </c>
      <c r="K35" s="33"/>
      <c r="L35" s="40"/>
    </row>
    <row r="36" spans="1:12">
      <c r="A36" s="55">
        <v>16</v>
      </c>
      <c r="B36" s="8" t="s">
        <v>62</v>
      </c>
      <c r="C36" s="68">
        <v>-5000</v>
      </c>
      <c r="D36" s="68"/>
      <c r="E36" s="8" t="s">
        <v>5</v>
      </c>
      <c r="F36" s="60">
        <f t="shared" si="1"/>
        <v>-20000000</v>
      </c>
      <c r="G36" s="55">
        <f t="shared" si="2"/>
        <v>-20000000</v>
      </c>
      <c r="H36" s="33">
        <f t="shared" si="3"/>
        <v>-16000000</v>
      </c>
      <c r="I36" s="33">
        <f>Tabelle1[[#This Row],[Precio ]]</f>
        <v>-20000000</v>
      </c>
      <c r="J36" s="33">
        <f t="shared" si="4"/>
        <v>-22000000</v>
      </c>
      <c r="K36" s="33"/>
      <c r="L36" s="40"/>
    </row>
    <row r="37" spans="1:12">
      <c r="A37" s="55">
        <v>17</v>
      </c>
      <c r="B37" s="8" t="s">
        <v>63</v>
      </c>
      <c r="C37" s="68">
        <v>-20000</v>
      </c>
      <c r="D37" s="68"/>
      <c r="E37" s="8" t="s">
        <v>5</v>
      </c>
      <c r="F37" s="60">
        <f t="shared" si="1"/>
        <v>-80000000</v>
      </c>
      <c r="G37" s="55">
        <f t="shared" si="2"/>
        <v>-80000000</v>
      </c>
      <c r="H37" s="33">
        <f t="shared" si="3"/>
        <v>-64000000</v>
      </c>
      <c r="I37" s="33">
        <f>Tabelle1[[#This Row],[Precio ]]</f>
        <v>-80000000</v>
      </c>
      <c r="J37" s="33">
        <f t="shared" si="4"/>
        <v>-88000000</v>
      </c>
      <c r="K37" s="33"/>
      <c r="L37" s="40"/>
    </row>
    <row r="38" spans="1:12">
      <c r="A38" s="55">
        <v>18</v>
      </c>
      <c r="B38" s="8" t="s">
        <v>64</v>
      </c>
      <c r="C38" s="68">
        <v>-20000</v>
      </c>
      <c r="D38" s="68"/>
      <c r="E38" s="8" t="s">
        <v>5</v>
      </c>
      <c r="F38" s="60">
        <f t="shared" si="1"/>
        <v>-80000000</v>
      </c>
      <c r="G38" s="55">
        <f t="shared" si="2"/>
        <v>-80000000</v>
      </c>
      <c r="H38" s="33">
        <f t="shared" si="3"/>
        <v>-64000000</v>
      </c>
      <c r="I38" s="33">
        <f>Tabelle1[[#This Row],[Precio ]]</f>
        <v>-80000000</v>
      </c>
      <c r="J38" s="33">
        <f t="shared" si="4"/>
        <v>-88000000</v>
      </c>
      <c r="K38" s="33"/>
      <c r="L38" s="40"/>
    </row>
    <row r="39" spans="1:12">
      <c r="A39" s="55">
        <v>19</v>
      </c>
      <c r="B39" s="63" t="s">
        <v>66</v>
      </c>
      <c r="C39" s="68">
        <f>-15000*C15</f>
        <v>-225000</v>
      </c>
      <c r="D39" s="68"/>
      <c r="E39" s="8" t="s">
        <v>5</v>
      </c>
      <c r="F39" s="60">
        <f t="shared" si="1"/>
        <v>-900000000</v>
      </c>
      <c r="G39" s="55">
        <f t="shared" si="2"/>
        <v>-900000000</v>
      </c>
      <c r="H39" s="33">
        <f t="shared" si="3"/>
        <v>-720000000</v>
      </c>
      <c r="I39" s="33">
        <f>Tabelle1[[#This Row],[Precio ]]</f>
        <v>-900000000</v>
      </c>
      <c r="J39" s="33">
        <f t="shared" si="4"/>
        <v>-990000000.00000012</v>
      </c>
      <c r="K39" s="33"/>
      <c r="L39" s="40"/>
    </row>
    <row r="40" spans="1:12">
      <c r="A40" s="55">
        <v>20</v>
      </c>
      <c r="B40" s="63" t="s">
        <v>67</v>
      </c>
      <c r="C40" s="68">
        <v>-750</v>
      </c>
      <c r="D40" s="68"/>
      <c r="E40" s="8" t="s">
        <v>6</v>
      </c>
      <c r="F40" s="60">
        <f t="shared" si="1"/>
        <v>-3000000</v>
      </c>
      <c r="G40" s="55">
        <f t="shared" si="2"/>
        <v>-3000000</v>
      </c>
      <c r="H40" s="33">
        <f t="shared" si="3"/>
        <v>-2400000</v>
      </c>
      <c r="I40" s="33">
        <f>Tabelle1[[#This Row],[Precio ]]</f>
        <v>-3000000</v>
      </c>
      <c r="J40" s="33">
        <f t="shared" si="4"/>
        <v>-3300000.0000000005</v>
      </c>
      <c r="K40" s="33"/>
      <c r="L40" s="40"/>
    </row>
    <row r="41" spans="1:12">
      <c r="A41" s="55">
        <v>21</v>
      </c>
      <c r="B41" s="63" t="s">
        <v>68</v>
      </c>
      <c r="C41" s="68">
        <v>-1400</v>
      </c>
      <c r="D41" s="68"/>
      <c r="E41" s="8" t="s">
        <v>5</v>
      </c>
      <c r="F41" s="60">
        <f t="shared" si="1"/>
        <v>-5600000</v>
      </c>
      <c r="G41" s="55">
        <f t="shared" si="2"/>
        <v>-5600000</v>
      </c>
      <c r="H41" s="33">
        <f t="shared" si="3"/>
        <v>-4480000</v>
      </c>
      <c r="I41" s="33">
        <f>Tabelle1[[#This Row],[Precio ]]</f>
        <v>-5600000</v>
      </c>
      <c r="J41" s="33">
        <f t="shared" si="4"/>
        <v>-6160000.0000000009</v>
      </c>
      <c r="K41" s="33"/>
      <c r="L41" s="40"/>
    </row>
    <row r="42" spans="1:12">
      <c r="A42" s="55">
        <v>22</v>
      </c>
      <c r="B42" s="63" t="s">
        <v>70</v>
      </c>
      <c r="C42" s="68">
        <v>-60</v>
      </c>
      <c r="D42" s="68"/>
      <c r="E42" s="8" t="s">
        <v>5</v>
      </c>
      <c r="F42" s="60">
        <f t="shared" si="1"/>
        <v>-240000</v>
      </c>
      <c r="G42" s="55">
        <f t="shared" si="2"/>
        <v>-240000</v>
      </c>
      <c r="H42" s="33">
        <f t="shared" si="3"/>
        <v>-192000</v>
      </c>
      <c r="I42" s="33">
        <f>Tabelle1[[#This Row],[Precio ]]</f>
        <v>-240000</v>
      </c>
      <c r="J42" s="33">
        <f t="shared" si="4"/>
        <v>-264000</v>
      </c>
      <c r="K42" s="33"/>
      <c r="L42" s="40"/>
    </row>
    <row r="43" spans="1:12">
      <c r="A43" s="55">
        <v>23</v>
      </c>
      <c r="B43" s="63" t="s">
        <v>72</v>
      </c>
      <c r="C43" s="68">
        <f>-500*D16*0.5</f>
        <v>-7750</v>
      </c>
      <c r="D43" s="68"/>
      <c r="E43" s="8" t="s">
        <v>5</v>
      </c>
      <c r="F43" s="60">
        <f t="shared" si="1"/>
        <v>-31000000</v>
      </c>
      <c r="G43" s="55">
        <f t="shared" si="2"/>
        <v>-31000000</v>
      </c>
      <c r="H43" s="33">
        <f t="shared" si="3"/>
        <v>-24800000</v>
      </c>
      <c r="I43" s="33">
        <f>Tabelle1[[#This Row],[Precio ]]</f>
        <v>-31000000</v>
      </c>
      <c r="J43" s="33">
        <f t="shared" si="4"/>
        <v>-34100000</v>
      </c>
      <c r="K43" s="33"/>
      <c r="L43" s="40"/>
    </row>
    <row r="44" spans="1:12">
      <c r="A44" s="55">
        <v>24</v>
      </c>
      <c r="B44" s="63" t="s">
        <v>73</v>
      </c>
      <c r="C44" s="68">
        <f>-350*D16*0.5</f>
        <v>-5425</v>
      </c>
      <c r="D44" s="68"/>
      <c r="E44" s="8" t="s">
        <v>5</v>
      </c>
      <c r="F44" s="60">
        <f t="shared" si="1"/>
        <v>-21700000</v>
      </c>
      <c r="G44" s="55">
        <f t="shared" si="2"/>
        <v>-21700000</v>
      </c>
      <c r="H44" s="33">
        <f t="shared" si="3"/>
        <v>-17360000</v>
      </c>
      <c r="I44" s="33">
        <f>Tabelle1[[#This Row],[Precio ]]</f>
        <v>-21700000</v>
      </c>
      <c r="J44" s="33">
        <f t="shared" si="4"/>
        <v>-23870000.000000004</v>
      </c>
      <c r="K44" s="33"/>
      <c r="L44" s="40"/>
    </row>
    <row r="45" spans="1:12">
      <c r="A45" s="55">
        <v>25</v>
      </c>
      <c r="B45" s="64" t="s">
        <v>75</v>
      </c>
      <c r="C45" s="68"/>
      <c r="D45" s="68">
        <v>-119000</v>
      </c>
      <c r="E45" s="8" t="s">
        <v>5</v>
      </c>
      <c r="F45" s="60">
        <f t="shared" si="1"/>
        <v>-119000</v>
      </c>
      <c r="G45" s="55">
        <f t="shared" si="2"/>
        <v>-119000</v>
      </c>
      <c r="H45" s="33">
        <f t="shared" si="3"/>
        <v>-95200</v>
      </c>
      <c r="I45" s="33">
        <f>Tabelle1[[#This Row],[Precio ]]</f>
        <v>-119000</v>
      </c>
      <c r="J45" s="33">
        <f t="shared" si="4"/>
        <v>-130900.00000000001</v>
      </c>
      <c r="K45" s="33"/>
      <c r="L45" s="40"/>
    </row>
    <row r="46" spans="1:12">
      <c r="A46" s="55">
        <v>26</v>
      </c>
      <c r="B46" s="8" t="s">
        <v>76</v>
      </c>
      <c r="C46" s="68">
        <f>-1500*C15</f>
        <v>-22500</v>
      </c>
      <c r="D46" s="68"/>
      <c r="E46" s="8" t="s">
        <v>14</v>
      </c>
      <c r="F46" s="60">
        <f t="shared" si="1"/>
        <v>-90000000</v>
      </c>
      <c r="G46" s="55">
        <f t="shared" ref="G46:G53" si="5">HLOOKUP($G$19,$H$20:$L$54,A46+1)</f>
        <v>-90000000</v>
      </c>
      <c r="H46" s="33">
        <f t="shared" si="3"/>
        <v>-72000000</v>
      </c>
      <c r="I46" s="33">
        <f>Tabelle1[[#This Row],[Precio ]]</f>
        <v>-90000000</v>
      </c>
      <c r="J46" s="33">
        <f t="shared" si="4"/>
        <v>-99000000.000000015</v>
      </c>
      <c r="K46" s="33"/>
      <c r="L46" s="40"/>
    </row>
    <row r="47" spans="1:12">
      <c r="A47" s="55">
        <v>27</v>
      </c>
      <c r="B47" s="63"/>
      <c r="C47" s="68"/>
      <c r="D47" s="68"/>
      <c r="E47" s="8" t="s">
        <v>6</v>
      </c>
      <c r="F47" s="60">
        <f t="shared" si="1"/>
        <v>0</v>
      </c>
      <c r="G47" s="55">
        <f t="shared" si="5"/>
        <v>0</v>
      </c>
      <c r="H47" s="33">
        <f t="shared" si="3"/>
        <v>0</v>
      </c>
      <c r="I47" s="33">
        <f>Tabelle1[[#This Row],[Precio ]]</f>
        <v>0</v>
      </c>
      <c r="J47" s="33">
        <f t="shared" si="4"/>
        <v>0</v>
      </c>
      <c r="K47" s="33"/>
      <c r="L47" s="40"/>
    </row>
    <row r="48" spans="1:12">
      <c r="A48" s="55">
        <v>28</v>
      </c>
      <c r="B48" s="8"/>
      <c r="C48" s="68"/>
      <c r="D48" s="51"/>
      <c r="E48" s="8" t="s">
        <v>6</v>
      </c>
      <c r="F48" s="60">
        <f t="shared" si="1"/>
        <v>0</v>
      </c>
      <c r="G48" s="55">
        <f t="shared" si="5"/>
        <v>0</v>
      </c>
      <c r="H48" s="33">
        <f t="shared" si="3"/>
        <v>0</v>
      </c>
      <c r="I48" s="33">
        <f>Tabelle1[[#This Row],[Precio ]]</f>
        <v>0</v>
      </c>
      <c r="J48" s="33">
        <f t="shared" si="4"/>
        <v>0</v>
      </c>
      <c r="K48" s="33"/>
      <c r="L48" s="40"/>
    </row>
    <row r="49" spans="1:12">
      <c r="A49" s="55">
        <v>29</v>
      </c>
      <c r="B49" s="8"/>
      <c r="C49" s="68"/>
      <c r="D49" s="51"/>
      <c r="E49" s="8" t="s">
        <v>6</v>
      </c>
      <c r="F49" s="60">
        <f t="shared" si="1"/>
        <v>0</v>
      </c>
      <c r="G49" s="55">
        <f t="shared" si="5"/>
        <v>0</v>
      </c>
      <c r="H49" s="33">
        <f t="shared" si="3"/>
        <v>0</v>
      </c>
      <c r="I49" s="33">
        <f>Tabelle1[[#This Row],[Precio ]]</f>
        <v>0</v>
      </c>
      <c r="J49" s="33">
        <f t="shared" si="4"/>
        <v>0</v>
      </c>
      <c r="K49" s="33"/>
      <c r="L49" s="40"/>
    </row>
    <row r="50" spans="1:12">
      <c r="A50" s="55">
        <v>30</v>
      </c>
      <c r="B50" s="63"/>
      <c r="C50" s="68"/>
      <c r="D50" s="68"/>
      <c r="E50" s="8" t="s">
        <v>6</v>
      </c>
      <c r="F50" s="60">
        <f t="shared" si="1"/>
        <v>0</v>
      </c>
      <c r="G50" s="55">
        <f t="shared" si="5"/>
        <v>0</v>
      </c>
      <c r="H50" s="33">
        <f t="shared" si="3"/>
        <v>0</v>
      </c>
      <c r="I50" s="33">
        <f>Tabelle1[[#This Row],[Precio ]]</f>
        <v>0</v>
      </c>
      <c r="J50" s="33">
        <f t="shared" si="4"/>
        <v>0</v>
      </c>
      <c r="K50" s="33"/>
      <c r="L50" s="40"/>
    </row>
    <row r="51" spans="1:12">
      <c r="A51" s="55">
        <v>31</v>
      </c>
      <c r="B51" s="64"/>
      <c r="C51" s="68"/>
      <c r="D51" s="68"/>
      <c r="E51" s="8" t="s">
        <v>6</v>
      </c>
      <c r="F51" s="60">
        <f t="shared" si="1"/>
        <v>0</v>
      </c>
      <c r="G51" s="55">
        <f t="shared" si="5"/>
        <v>0</v>
      </c>
      <c r="H51" s="33">
        <f t="shared" si="3"/>
        <v>0</v>
      </c>
      <c r="I51" s="33">
        <f>Tabelle1[[#This Row],[Precio ]]</f>
        <v>0</v>
      </c>
      <c r="J51" s="33">
        <f t="shared" si="4"/>
        <v>0</v>
      </c>
      <c r="K51" s="33"/>
      <c r="L51" s="40"/>
    </row>
    <row r="52" spans="1:12">
      <c r="A52" s="55">
        <v>32</v>
      </c>
      <c r="B52" s="69"/>
      <c r="C52" s="53"/>
      <c r="D52" s="53"/>
      <c r="E52" s="8" t="s">
        <v>6</v>
      </c>
      <c r="F52" s="60">
        <f t="shared" si="1"/>
        <v>0</v>
      </c>
      <c r="G52" s="55">
        <f t="shared" si="5"/>
        <v>0</v>
      </c>
      <c r="H52" s="33">
        <f t="shared" si="3"/>
        <v>0</v>
      </c>
      <c r="I52" s="33">
        <f>Tabelle1[[#This Row],[Precio ]]</f>
        <v>0</v>
      </c>
      <c r="J52" s="33">
        <f t="shared" si="4"/>
        <v>0</v>
      </c>
      <c r="K52" s="33"/>
      <c r="L52" s="40"/>
    </row>
    <row r="53" spans="1:12">
      <c r="A53" s="55">
        <v>33</v>
      </c>
      <c r="B53" s="8"/>
      <c r="C53" s="53"/>
      <c r="D53" s="53"/>
      <c r="E53" s="8"/>
      <c r="F53" s="60">
        <f t="shared" si="1"/>
        <v>0</v>
      </c>
      <c r="G53" s="55">
        <f t="shared" si="5"/>
        <v>0</v>
      </c>
      <c r="H53" s="33">
        <f t="shared" si="3"/>
        <v>0</v>
      </c>
      <c r="I53" s="33">
        <f>Tabelle1[[#This Row],[Precio ]]</f>
        <v>0</v>
      </c>
      <c r="J53" s="33">
        <f t="shared" si="4"/>
        <v>0</v>
      </c>
      <c r="K53" s="33"/>
      <c r="L53" s="40"/>
    </row>
    <row r="54" spans="1:12" ht="15" customHeight="1" thickBot="1">
      <c r="A54" s="67">
        <v>34</v>
      </c>
      <c r="B54" s="24"/>
      <c r="C54" s="53"/>
      <c r="D54" s="53"/>
      <c r="E54" s="24"/>
      <c r="F54" s="61">
        <f t="shared" si="1"/>
        <v>0</v>
      </c>
      <c r="G54" s="55">
        <f>HLOOKUP($G$19,$H$20:$L$54,A54+1)</f>
        <v>0</v>
      </c>
      <c r="H54" s="33"/>
      <c r="I54" s="33">
        <f t="shared" ref="I54" si="6">(H54+J54)/2</f>
        <v>0</v>
      </c>
      <c r="J54" s="33"/>
      <c r="K54" s="33"/>
      <c r="L54" s="40"/>
    </row>
    <row r="57" spans="1:12">
      <c r="B57" s="92"/>
      <c r="C57" s="92"/>
    </row>
    <row r="58" spans="1:12" ht="13.5" thickBot="1">
      <c r="B58" s="4"/>
      <c r="C58" s="4"/>
    </row>
    <row r="59" spans="1:12" ht="13.5" thickBot="1">
      <c r="B59" s="4"/>
      <c r="C59" s="4"/>
      <c r="G59" s="9" t="s">
        <v>34</v>
      </c>
      <c r="H59" s="81">
        <f ca="1">Balance!G3</f>
        <v>1655498550.1058669</v>
      </c>
      <c r="I59" s="28" t="s">
        <v>74</v>
      </c>
    </row>
    <row r="60" spans="1:12">
      <c r="B60" s="4"/>
      <c r="C60" s="4"/>
      <c r="G60" s="41">
        <v>1</v>
      </c>
      <c r="H60" s="82">
        <f t="dataTable" ref="H60:H64" dt2D="0" dtr="0" r1="G19" ca="1"/>
        <v>4684483507.8246927</v>
      </c>
      <c r="I60" s="86">
        <v>0.2</v>
      </c>
    </row>
    <row r="61" spans="1:12">
      <c r="B61" s="92"/>
      <c r="C61" s="92"/>
      <c r="G61" s="26">
        <v>2</v>
      </c>
      <c r="H61" s="83">
        <v>1655498550.1058669</v>
      </c>
      <c r="I61" s="86">
        <v>0.5</v>
      </c>
    </row>
    <row r="62" spans="1:12">
      <c r="B62" s="4"/>
      <c r="C62" s="4"/>
      <c r="G62" s="26">
        <v>3</v>
      </c>
      <c r="H62" s="83">
        <v>141006071.24645495</v>
      </c>
      <c r="I62" s="86">
        <v>0.3</v>
      </c>
    </row>
    <row r="63" spans="1:12">
      <c r="B63" s="4"/>
      <c r="C63" s="4"/>
      <c r="G63" s="26">
        <v>4</v>
      </c>
      <c r="H63" s="84">
        <v>0</v>
      </c>
      <c r="I63" s="88">
        <f>H60*I60+H61*I61+H62*I62</f>
        <v>1806947797.9918084</v>
      </c>
    </row>
    <row r="64" spans="1:12" ht="13.5" thickBot="1">
      <c r="B64" s="4"/>
      <c r="C64" s="4"/>
      <c r="G64" s="27">
        <v>5</v>
      </c>
      <c r="H64" s="85">
        <v>0</v>
      </c>
      <c r="I64" s="87"/>
    </row>
  </sheetData>
  <mergeCells count="3">
    <mergeCell ref="C12:E12"/>
    <mergeCell ref="B57:C57"/>
    <mergeCell ref="B61:C6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2"/>
  <sheetViews>
    <sheetView zoomScaleNormal="100" workbookViewId="0">
      <selection activeCell="C5" sqref="C5"/>
    </sheetView>
  </sheetViews>
  <sheetFormatPr baseColWidth="10" defaultColWidth="9.140625" defaultRowHeight="12.75"/>
  <cols>
    <col min="1" max="1" width="11.5703125"/>
    <col min="2" max="2" width="17.5703125" customWidth="1"/>
    <col min="3" max="3" width="17.5703125" bestFit="1" customWidth="1"/>
    <col min="4" max="4" width="19.85546875" bestFit="1" customWidth="1"/>
    <col min="5" max="5" width="20.140625" bestFit="1" customWidth="1"/>
    <col min="6" max="6" width="21" bestFit="1" customWidth="1"/>
    <col min="7" max="7" width="15.85546875" customWidth="1"/>
    <col min="8" max="9" width="11.5703125"/>
    <col min="10" max="10" width="25.140625" bestFit="1" customWidth="1"/>
    <col min="11" max="11" width="18.5703125" bestFit="1" customWidth="1"/>
    <col min="12" max="12" width="18.85546875" customWidth="1"/>
    <col min="13" max="13" width="13.85546875" hidden="1" customWidth="1"/>
    <col min="14" max="14" width="16.7109375" hidden="1" customWidth="1"/>
    <col min="15" max="15" width="13.7109375" hidden="1" customWidth="1"/>
    <col min="16" max="16" width="9.140625" hidden="1" customWidth="1"/>
    <col min="17" max="17" width="16.5703125" hidden="1" customWidth="1"/>
    <col min="18" max="18" width="17.85546875" hidden="1" customWidth="1"/>
    <col min="19" max="19" width="11.5703125" hidden="1" customWidth="1"/>
    <col min="20" max="1025" width="11.5703125"/>
  </cols>
  <sheetData>
    <row r="1" spans="1:19">
      <c r="A1" s="7" t="s">
        <v>8</v>
      </c>
      <c r="B1" s="7" t="s">
        <v>9</v>
      </c>
      <c r="C1" s="7" t="s">
        <v>10</v>
      </c>
      <c r="D1" s="7" t="s">
        <v>11</v>
      </c>
      <c r="I1" t="s">
        <v>5</v>
      </c>
      <c r="J1" s="25" t="s">
        <v>29</v>
      </c>
      <c r="K1" s="43">
        <v>2.5000000000000001E-3</v>
      </c>
    </row>
    <row r="2" spans="1:19">
      <c r="A2" s="8">
        <v>0</v>
      </c>
      <c r="B2" s="42">
        <f>IF(A2=0,$N$42,0)</f>
        <v>-1726659000</v>
      </c>
      <c r="C2" s="42">
        <f t="shared" ref="C2:C33" si="0">-PV($K$1,A2,,B2)</f>
        <v>-1726659000</v>
      </c>
      <c r="D2" s="42">
        <f>SUM($C$2:C2)</f>
        <v>-1726659000</v>
      </c>
      <c r="E2" s="1"/>
      <c r="F2" s="8" t="s">
        <v>35</v>
      </c>
      <c r="G2" s="32">
        <v>10</v>
      </c>
      <c r="I2" t="s">
        <v>6</v>
      </c>
      <c r="J2" s="21" t="s">
        <v>30</v>
      </c>
      <c r="K2" s="44">
        <v>0.03</v>
      </c>
    </row>
    <row r="3" spans="1:19">
      <c r="A3" s="8">
        <v>1</v>
      </c>
      <c r="B3" s="42">
        <f t="shared" ref="B3:B34" si="1">IF(A3=0,$N$42,0)+IF(A3=0,0,$O$42)+IF(MOD(A3,2)=0,$P$42,0)+IF(MOD(A3,3)=0,$Q$42,0)+IF(MOD(A3,6)=0,$R$42,0)+IF(MOD(A3,12)=0,$S$42,0)</f>
        <v>62500000</v>
      </c>
      <c r="C3" s="42">
        <f t="shared" si="0"/>
        <v>62344139.650872819</v>
      </c>
      <c r="D3" s="42">
        <f>SUM($C$2:C3)</f>
        <v>-1664314860.3491273</v>
      </c>
      <c r="E3" s="1"/>
      <c r="F3" s="8" t="s">
        <v>26</v>
      </c>
      <c r="G3" s="42">
        <f ca="1">NPV(K4,OFFSET(C3,0,0,MATCH(G2*12,A3:A182,0),1))+D2</f>
        <v>1655498550.1058669</v>
      </c>
      <c r="J3" s="45" t="s">
        <v>27</v>
      </c>
      <c r="K3" s="44">
        <v>0.12</v>
      </c>
    </row>
    <row r="4" spans="1:19" ht="13.5" thickBot="1">
      <c r="A4" s="8">
        <v>2</v>
      </c>
      <c r="B4" s="42">
        <f t="shared" si="1"/>
        <v>62500000</v>
      </c>
      <c r="C4" s="42">
        <f t="shared" si="0"/>
        <v>62188667.980920523</v>
      </c>
      <c r="D4" s="42">
        <f>SUM($C$2:C4)</f>
        <v>-1602126192.3682067</v>
      </c>
      <c r="E4" s="1"/>
      <c r="J4" s="22" t="s">
        <v>28</v>
      </c>
      <c r="K4" s="46">
        <v>9.4999999999999998E-3</v>
      </c>
    </row>
    <row r="5" spans="1:19">
      <c r="A5" s="8">
        <v>3</v>
      </c>
      <c r="B5" s="42">
        <f t="shared" si="1"/>
        <v>56140000</v>
      </c>
      <c r="C5" s="42">
        <f t="shared" si="0"/>
        <v>55721046.510904796</v>
      </c>
      <c r="D5" s="42">
        <f>SUM($C$2:C5)</f>
        <v>-1546405145.857302</v>
      </c>
      <c r="E5" s="1"/>
      <c r="G5" s="29"/>
    </row>
    <row r="6" spans="1:19">
      <c r="A6" s="8">
        <v>4</v>
      </c>
      <c r="B6" s="42">
        <f t="shared" si="1"/>
        <v>62500000</v>
      </c>
      <c r="C6" s="42">
        <f t="shared" si="0"/>
        <v>61878886.803858712</v>
      </c>
      <c r="D6" s="42">
        <f>SUM($C$2:C6)</f>
        <v>-1484526259.0534432</v>
      </c>
      <c r="E6" s="1"/>
    </row>
    <row r="7" spans="1:19">
      <c r="A7" s="8">
        <v>5</v>
      </c>
      <c r="B7" s="42">
        <f t="shared" si="1"/>
        <v>62500000</v>
      </c>
      <c r="C7" s="42">
        <f t="shared" si="0"/>
        <v>61724575.3654451</v>
      </c>
      <c r="D7" s="42">
        <f>SUM($C$2:C7)</f>
        <v>-1422801683.6879981</v>
      </c>
      <c r="E7" s="1"/>
      <c r="M7" t="s">
        <v>12</v>
      </c>
      <c r="N7" t="s">
        <v>5</v>
      </c>
      <c r="O7" t="s">
        <v>6</v>
      </c>
      <c r="P7" t="s">
        <v>15</v>
      </c>
      <c r="Q7" t="s">
        <v>13</v>
      </c>
      <c r="R7" t="s">
        <v>16</v>
      </c>
      <c r="S7" t="s">
        <v>14</v>
      </c>
    </row>
    <row r="8" spans="1:19">
      <c r="A8" s="8">
        <v>6</v>
      </c>
      <c r="B8" s="42">
        <f t="shared" si="1"/>
        <v>56140000</v>
      </c>
      <c r="C8" s="42">
        <f t="shared" si="0"/>
        <v>55305219.527438819</v>
      </c>
      <c r="D8" s="42">
        <f>SUM($C$2:C8)</f>
        <v>-1367496464.1605592</v>
      </c>
      <c r="E8" s="1"/>
      <c r="M8">
        <v>1</v>
      </c>
      <c r="N8" s="1">
        <f>IF(Costos!E21= $N$7, Costos!G21,0)</f>
        <v>-320000000</v>
      </c>
      <c r="O8" s="1">
        <f>IF(Costos!E21= $O$7, Costos!G21,0)</f>
        <v>0</v>
      </c>
      <c r="P8" s="1">
        <f>IF(Costos!E21= $P$7, Costos!G21,0)</f>
        <v>0</v>
      </c>
      <c r="Q8" s="1">
        <f>IF(Costos!E21= $Q$7, Costos!G21,0)</f>
        <v>0</v>
      </c>
      <c r="R8" s="1">
        <f>IF(Costos!E21= $R$7, Costos!G21,0)</f>
        <v>0</v>
      </c>
      <c r="S8" s="1">
        <f>IF(Costos!E21= $S$7, Costos!G21,0)</f>
        <v>0</v>
      </c>
    </row>
    <row r="9" spans="1:19">
      <c r="A9" s="8">
        <v>7</v>
      </c>
      <c r="B9" s="42">
        <f t="shared" si="1"/>
        <v>62500000</v>
      </c>
      <c r="C9" s="42">
        <f t="shared" si="0"/>
        <v>61417105.978639551</v>
      </c>
      <c r="D9" s="42">
        <f>SUM($C$2:C9)</f>
        <v>-1306079358.1819196</v>
      </c>
      <c r="E9" s="1"/>
      <c r="G9" s="29"/>
      <c r="M9">
        <v>2</v>
      </c>
      <c r="N9" s="1">
        <f>IF(Costos!E22= $N$7, Costos!G22,0)</f>
        <v>0</v>
      </c>
      <c r="O9" s="1">
        <f>IF(Costos!E22= $O$7, Costos!G22,0)</f>
        <v>-800000</v>
      </c>
      <c r="P9" s="1">
        <f>IF(Costos!E22= $P$7, Costos!G22,0)</f>
        <v>0</v>
      </c>
      <c r="Q9" s="1">
        <f>IF(Costos!E22= $Q$7, Costos!G22,0)</f>
        <v>0</v>
      </c>
      <c r="R9" s="1">
        <f>IF(Costos!E22= $R$7, Costos!G22,0)</f>
        <v>0</v>
      </c>
      <c r="S9" s="1">
        <f>IF(Costos!E22= $S$7, Costos!G22,0)</f>
        <v>0</v>
      </c>
    </row>
    <row r="10" spans="1:19">
      <c r="A10" s="8">
        <v>8</v>
      </c>
      <c r="B10" s="42">
        <f t="shared" si="1"/>
        <v>62500000</v>
      </c>
      <c r="C10" s="42">
        <f t="shared" si="0"/>
        <v>61263946.113356158</v>
      </c>
      <c r="D10" s="42">
        <f>SUM($C$2:C10)</f>
        <v>-1244815412.0685635</v>
      </c>
      <c r="E10" s="1"/>
      <c r="M10">
        <v>3</v>
      </c>
      <c r="N10" s="1">
        <f>IF(Costos!E23= $N$7, Costos!G23,0)</f>
        <v>0</v>
      </c>
      <c r="O10" s="1">
        <f>IF(Costos!E23= $O$7, Costos!G23,0)</f>
        <v>-16000000</v>
      </c>
      <c r="P10" s="1">
        <f>IF(Costos!E23= $P$7, Costos!G23,0)</f>
        <v>0</v>
      </c>
      <c r="Q10" s="1">
        <f>IF(Costos!E23= $Q$7, Costos!G23,0)</f>
        <v>0</v>
      </c>
      <c r="R10" s="1">
        <f>IF(Costos!E23= $R$7, Costos!G23,0)</f>
        <v>0</v>
      </c>
      <c r="S10" s="1">
        <f>IF(Costos!E23= $S$7, Costos!G23,0)</f>
        <v>0</v>
      </c>
    </row>
    <row r="11" spans="1:19">
      <c r="A11" s="8">
        <v>9</v>
      </c>
      <c r="B11" s="42">
        <f t="shared" si="1"/>
        <v>56140000</v>
      </c>
      <c r="C11" s="42">
        <f t="shared" si="0"/>
        <v>54892495.717567116</v>
      </c>
      <c r="D11" s="42">
        <f>SUM($C$2:C11)</f>
        <v>-1189922916.3509963</v>
      </c>
      <c r="E11" s="1"/>
      <c r="M11">
        <v>4</v>
      </c>
      <c r="N11" s="1">
        <f>IF(Costos!E24= $N$7, Costos!G24,0)</f>
        <v>0</v>
      </c>
      <c r="O11" s="1">
        <f>IF(Costos!E24= $O$7, Costos!G24,0)</f>
        <v>-6000000</v>
      </c>
      <c r="P11" s="1">
        <f>IF(Costos!E24= $P$7, Costos!G24,0)</f>
        <v>0</v>
      </c>
      <c r="Q11" s="1">
        <f>IF(Costos!E24= $Q$7, Costos!G24,0)</f>
        <v>0</v>
      </c>
      <c r="R11" s="1">
        <f>IF(Costos!E24= $R$7, Costos!G24,0)</f>
        <v>0</v>
      </c>
      <c r="S11" s="1">
        <f>IF(Costos!E24= $S$7, Costos!G24,0)</f>
        <v>0</v>
      </c>
    </row>
    <row r="12" spans="1:19">
      <c r="A12" s="8">
        <v>10</v>
      </c>
      <c r="B12" s="42">
        <f t="shared" si="1"/>
        <v>62500000</v>
      </c>
      <c r="C12" s="42">
        <f t="shared" si="0"/>
        <v>60958771.2647122</v>
      </c>
      <c r="D12" s="42">
        <f>SUM($C$2:C12)</f>
        <v>-1128964145.0862842</v>
      </c>
      <c r="E12" s="1"/>
      <c r="M12">
        <v>5</v>
      </c>
      <c r="N12" s="1">
        <f>IF(Costos!E25= $N$7, Costos!G25,0)</f>
        <v>0</v>
      </c>
      <c r="O12" s="1">
        <f>IF(Costos!E25= $O$7, Costos!G25,0)</f>
        <v>-800000</v>
      </c>
      <c r="P12" s="1">
        <f>IF(Costos!E25= $P$7, Costos!G25,0)</f>
        <v>0</v>
      </c>
      <c r="Q12" s="1">
        <f>IF(Costos!E25= $Q$7, Costos!G25,0)</f>
        <v>0</v>
      </c>
      <c r="R12" s="1">
        <f>IF(Costos!E25= $R$7, Costos!G25,0)</f>
        <v>0</v>
      </c>
      <c r="S12" s="1">
        <f>IF(Costos!E25= $S$7, Costos!G25,0)</f>
        <v>0</v>
      </c>
    </row>
    <row r="13" spans="1:19">
      <c r="A13" s="8">
        <v>11</v>
      </c>
      <c r="B13" s="42">
        <f t="shared" si="1"/>
        <v>62500000</v>
      </c>
      <c r="C13" s="42">
        <f t="shared" si="0"/>
        <v>60806754.378765292</v>
      </c>
      <c r="D13" s="42">
        <f>SUM($C$2:C13)</f>
        <v>-1068157390.7075188</v>
      </c>
      <c r="E13" s="1"/>
      <c r="M13">
        <v>6</v>
      </c>
      <c r="N13" s="1">
        <f>IF(Costos!E26= $N$7, Costos!G26,0)</f>
        <v>-60000000</v>
      </c>
      <c r="O13" s="1">
        <f>IF(Costos!E26= $O$7, Costos!G26,0)</f>
        <v>0</v>
      </c>
      <c r="P13" s="1">
        <f>IF(Costos!E26= $P$7, Costos!G26,0)</f>
        <v>0</v>
      </c>
      <c r="Q13" s="1">
        <f>IF(Costos!E26= $Q$7, Costos!G26,0)</f>
        <v>0</v>
      </c>
      <c r="R13" s="1">
        <f>IF(Costos!E26= $R$7, Costos!G26,0)</f>
        <v>0</v>
      </c>
      <c r="S13" s="1">
        <f>IF(Costos!E26= $S$7, Costos!G26,0)</f>
        <v>0</v>
      </c>
    </row>
    <row r="14" spans="1:19">
      <c r="A14" s="8">
        <v>12</v>
      </c>
      <c r="B14" s="42">
        <f t="shared" si="1"/>
        <v>-33860000</v>
      </c>
      <c r="C14" s="42">
        <f t="shared" si="0"/>
        <v>-32860515.962334048</v>
      </c>
      <c r="D14" s="42">
        <f>SUM($C$2:C14)</f>
        <v>-1101017906.669853</v>
      </c>
      <c r="E14" s="1"/>
      <c r="M14">
        <v>7</v>
      </c>
      <c r="N14" s="1">
        <f>IF(Costos!E27= $N$7, Costos!G27,0)</f>
        <v>-60000000</v>
      </c>
      <c r="O14" s="1">
        <f>IF(Costos!E27= $O$7, Costos!G27,0)</f>
        <v>0</v>
      </c>
      <c r="P14" s="1">
        <f>IF(Costos!E27= $P$7, Costos!G27,0)</f>
        <v>0</v>
      </c>
      <c r="Q14" s="1">
        <f>IF(Costos!E27= $Q$7, Costos!G27,0)</f>
        <v>0</v>
      </c>
      <c r="R14" s="1">
        <f>IF(Costos!E27= $R$7, Costos!G27,0)</f>
        <v>0</v>
      </c>
      <c r="S14" s="1">
        <f>IF(Costos!E27= $S$7, Costos!G27,0)</f>
        <v>0</v>
      </c>
    </row>
    <row r="15" spans="1:19">
      <c r="A15" s="8">
        <v>13</v>
      </c>
      <c r="B15" s="42">
        <f t="shared" si="1"/>
        <v>62500000</v>
      </c>
      <c r="C15" s="42">
        <f t="shared" si="0"/>
        <v>60503856.944934703</v>
      </c>
      <c r="D15" s="42">
        <f>SUM($C$2:C15)</f>
        <v>-1040514049.7249182</v>
      </c>
      <c r="E15" s="1"/>
      <c r="M15">
        <v>8</v>
      </c>
      <c r="N15" s="1">
        <f>IF(Costos!E28= $N$7, Costos!G28,0)</f>
        <v>-28000000</v>
      </c>
      <c r="O15" s="1">
        <f>IF(Costos!E28= $O$7, Costos!G28,0)</f>
        <v>0</v>
      </c>
      <c r="P15" s="1">
        <f>IF(Costos!E28= $P$7, Costos!G28,0)</f>
        <v>0</v>
      </c>
      <c r="Q15" s="1">
        <f>IF(Costos!E28= $Q$7, Costos!G28,0)</f>
        <v>0</v>
      </c>
      <c r="R15" s="1">
        <f>IF(Costos!E28= $R$7, Costos!G28,0)</f>
        <v>0</v>
      </c>
      <c r="S15" s="1">
        <f>IF(Costos!E28= $S$7, Costos!G28,0)</f>
        <v>0</v>
      </c>
    </row>
    <row r="16" spans="1:19">
      <c r="A16" s="8">
        <v>14</v>
      </c>
      <c r="B16" s="42">
        <f t="shared" si="1"/>
        <v>62500000</v>
      </c>
      <c r="C16" s="42">
        <f t="shared" si="0"/>
        <v>60352974.508663066</v>
      </c>
      <c r="D16" s="42">
        <f>SUM($C$2:C16)</f>
        <v>-980161075.21625519</v>
      </c>
      <c r="E16" s="1"/>
      <c r="M16">
        <v>9</v>
      </c>
      <c r="N16" s="1">
        <f>IF(Costos!E29= $N$7, Costos!G29,0)</f>
        <v>0</v>
      </c>
      <c r="O16" s="1">
        <f>IF(Costos!E29= $O$7, Costos!G29,0)</f>
        <v>71400000</v>
      </c>
      <c r="P16" s="1">
        <f>IF(Costos!E29= $P$7, Costos!G29,0)</f>
        <v>0</v>
      </c>
      <c r="Q16" s="1">
        <f>IF(Costos!E29= $Q$7, Costos!G29,0)</f>
        <v>0</v>
      </c>
      <c r="R16" s="1">
        <f>IF(Costos!E29= $R$7, Costos!G29,0)</f>
        <v>0</v>
      </c>
      <c r="S16" s="1">
        <f>IF(Costos!E29= $S$7, Costos!G29,0)</f>
        <v>0</v>
      </c>
    </row>
    <row r="17" spans="1:19">
      <c r="A17" s="8">
        <v>15</v>
      </c>
      <c r="B17" s="42">
        <f t="shared" si="1"/>
        <v>56140000</v>
      </c>
      <c r="C17" s="42">
        <f t="shared" si="0"/>
        <v>54076265.159762107</v>
      </c>
      <c r="D17" s="42">
        <f>SUM($C$2:C17)</f>
        <v>-926084810.05649304</v>
      </c>
      <c r="E17" s="1"/>
      <c r="M17">
        <v>10</v>
      </c>
      <c r="N17" s="1">
        <f>IF(Costos!E30= $N$7, Costos!G30,0)</f>
        <v>0</v>
      </c>
      <c r="O17" s="1">
        <f>IF(Costos!E30= $O$7, Costos!G30,0)</f>
        <v>61200000</v>
      </c>
      <c r="P17" s="1">
        <f>IF(Costos!E30= $P$7, Costos!G30,0)</f>
        <v>0</v>
      </c>
      <c r="Q17" s="1">
        <f>IF(Costos!E30= $Q$7, Costos!G30,0)</f>
        <v>0</v>
      </c>
      <c r="R17" s="1">
        <f>IF(Costos!E30= $R$7, Costos!G30,0)</f>
        <v>0</v>
      </c>
      <c r="S17" s="1">
        <f>IF(Costos!E30= $S$7, Costos!G30,0)</f>
        <v>0</v>
      </c>
    </row>
    <row r="18" spans="1:19">
      <c r="A18" s="8">
        <v>16</v>
      </c>
      <c r="B18" s="42">
        <f t="shared" si="1"/>
        <v>62500000</v>
      </c>
      <c r="C18" s="42">
        <f t="shared" si="0"/>
        <v>60052337.494083308</v>
      </c>
      <c r="D18" s="42">
        <f>SUM($C$2:C18)</f>
        <v>-866032472.56240976</v>
      </c>
      <c r="E18" s="1"/>
      <c r="M18">
        <v>11</v>
      </c>
      <c r="N18" s="1">
        <f>IF(Costos!E31= $N$7, Costos!G31,0)</f>
        <v>0</v>
      </c>
      <c r="O18" s="1">
        <f>IF(Costos!E31= $O$7, Costos!G31,0)</f>
        <v>-38900000</v>
      </c>
      <c r="P18" s="1">
        <f>IF(Costos!E31= $P$7, Costos!G31,0)</f>
        <v>0</v>
      </c>
      <c r="Q18" s="1">
        <f>IF(Costos!E31= $Q$7, Costos!G31,0)</f>
        <v>0</v>
      </c>
      <c r="R18" s="1">
        <f>IF(Costos!E31= $R$7, Costos!G31,0)</f>
        <v>0</v>
      </c>
      <c r="S18" s="1">
        <f>IF(Costos!E31= $S$7, Costos!G31,0)</f>
        <v>0</v>
      </c>
    </row>
    <row r="19" spans="1:19">
      <c r="A19" s="8">
        <v>17</v>
      </c>
      <c r="B19" s="42">
        <f t="shared" si="1"/>
        <v>62500000</v>
      </c>
      <c r="C19" s="42">
        <f t="shared" si="0"/>
        <v>59902581.041479617</v>
      </c>
      <c r="D19" s="42">
        <f>SUM($C$2:C19)</f>
        <v>-806129891.52093017</v>
      </c>
      <c r="E19" s="1"/>
      <c r="M19">
        <v>12</v>
      </c>
      <c r="N19" s="1">
        <f>IF(Costos!E32= $N$7, Costos!G32,0)</f>
        <v>0</v>
      </c>
      <c r="O19" s="1">
        <f>IF(Costos!E32= $O$7, Costos!G32,0)</f>
        <v>-3600000</v>
      </c>
      <c r="P19" s="1">
        <f>IF(Costos!E32= $P$7, Costos!G32,0)</f>
        <v>0</v>
      </c>
      <c r="Q19" s="1">
        <f>IF(Costos!E32= $Q$7, Costos!G32,0)</f>
        <v>0</v>
      </c>
      <c r="R19" s="1">
        <f>IF(Costos!E32= $R$7, Costos!G32,0)</f>
        <v>0</v>
      </c>
      <c r="S19" s="1">
        <f>IF(Costos!E32= $S$7, Costos!G32,0)</f>
        <v>0</v>
      </c>
    </row>
    <row r="20" spans="1:19">
      <c r="A20" s="8">
        <v>18</v>
      </c>
      <c r="B20" s="42">
        <f t="shared" si="1"/>
        <v>56140000</v>
      </c>
      <c r="C20" s="42">
        <f t="shared" si="0"/>
        <v>53672712.613165729</v>
      </c>
      <c r="D20" s="42">
        <f>SUM($C$2:C20)</f>
        <v>-752457178.90776443</v>
      </c>
      <c r="E20" s="1"/>
      <c r="M20">
        <v>13</v>
      </c>
      <c r="N20" s="1">
        <f>IF(Costos!E33= $N$7, Costos!G33,0)</f>
        <v>0</v>
      </c>
      <c r="O20" s="1">
        <f>IF(Costos!E33= $O$7, Costos!G33,0)</f>
        <v>0</v>
      </c>
      <c r="P20" s="1">
        <f>IF(Costos!E33= $P$7, Costos!G33,0)</f>
        <v>0</v>
      </c>
      <c r="Q20" s="1">
        <f>IF(Costos!E33= $Q$7, Costos!G33,0)</f>
        <v>-6360000</v>
      </c>
      <c r="R20" s="1">
        <f>IF(Costos!E33= $R$7, Costos!G33,0)</f>
        <v>0</v>
      </c>
      <c r="S20" s="1">
        <f>IF(Costos!E33= $S$7, Costos!G33,0)</f>
        <v>0</v>
      </c>
    </row>
    <row r="21" spans="1:19">
      <c r="A21" s="8">
        <v>19</v>
      </c>
      <c r="B21" s="42">
        <f t="shared" si="1"/>
        <v>62500000</v>
      </c>
      <c r="C21" s="42">
        <f t="shared" si="0"/>
        <v>59604187.57742016</v>
      </c>
      <c r="D21" s="42">
        <f>SUM($C$2:C21)</f>
        <v>-692852991.33034432</v>
      </c>
      <c r="E21" s="1"/>
      <c r="M21">
        <v>14</v>
      </c>
      <c r="N21" s="1">
        <f>IF(Costos!E34= $N$7, Costos!G34,0)</f>
        <v>0</v>
      </c>
      <c r="O21" s="1">
        <f>IF(Costos!E34= $O$7, Costos!G34,0)</f>
        <v>-1000000</v>
      </c>
      <c r="P21" s="1">
        <f>IF(Costos!E34= $P$7, Costos!G34,0)</f>
        <v>0</v>
      </c>
      <c r="Q21" s="1">
        <f>IF(Costos!E34= $Q$7, Costos!G34,0)</f>
        <v>0</v>
      </c>
      <c r="R21" s="1">
        <f>IF(Costos!E34= $R$7, Costos!G34,0)</f>
        <v>0</v>
      </c>
      <c r="S21" s="1">
        <f>IF(Costos!E34= $S$7, Costos!G34,0)</f>
        <v>0</v>
      </c>
    </row>
    <row r="22" spans="1:19">
      <c r="A22" s="8">
        <v>20</v>
      </c>
      <c r="B22" s="42">
        <f t="shared" si="1"/>
        <v>62500000</v>
      </c>
      <c r="C22" s="42">
        <f t="shared" si="0"/>
        <v>59455548.705656014</v>
      </c>
      <c r="D22" s="42">
        <f>SUM($C$2:C22)</f>
        <v>-633397442.62468827</v>
      </c>
      <c r="E22" s="1"/>
      <c r="M22">
        <v>15</v>
      </c>
      <c r="N22" s="1">
        <f>IF(Costos!E35= $N$7, Costos!G35,0)</f>
        <v>-120000000</v>
      </c>
      <c r="O22" s="1">
        <f>IF(Costos!E35= $O$7, Costos!G35,0)</f>
        <v>0</v>
      </c>
      <c r="P22" s="1">
        <f>IF(Costos!E35= $P$7, Costos!G35,0)</f>
        <v>0</v>
      </c>
      <c r="Q22" s="1">
        <f>IF(Costos!E35= $Q$7, Costos!G35,0)</f>
        <v>0</v>
      </c>
      <c r="R22" s="1">
        <f>IF(Costos!E35= $R$7, Costos!G35,0)</f>
        <v>0</v>
      </c>
      <c r="S22" s="1">
        <f>IF(Costos!E35= $S$7, Costos!G35,0)</f>
        <v>0</v>
      </c>
    </row>
    <row r="23" spans="1:19">
      <c r="A23" s="8">
        <v>21</v>
      </c>
      <c r="B23" s="42">
        <f t="shared" si="1"/>
        <v>56140000</v>
      </c>
      <c r="C23" s="42">
        <f t="shared" si="0"/>
        <v>53272171.640267797</v>
      </c>
      <c r="D23" s="42">
        <f>SUM($C$2:C23)</f>
        <v>-580125270.98442042</v>
      </c>
      <c r="E23" s="1"/>
      <c r="M23">
        <v>16</v>
      </c>
      <c r="N23" s="1">
        <f>IF(Costos!E36= $N$7, Costos!G36,0)</f>
        <v>-20000000</v>
      </c>
      <c r="O23" s="1">
        <f>IF(Costos!E36= $O$7, Costos!G36,0)</f>
        <v>0</v>
      </c>
      <c r="P23" s="1">
        <f>IF(Costos!E36= $P$7, Costos!G36,0)</f>
        <v>0</v>
      </c>
      <c r="Q23" s="1">
        <f>IF(Costos!E36= $Q$7, Costos!G36,0)</f>
        <v>0</v>
      </c>
      <c r="R23" s="1">
        <f>IF(Costos!E36= $R$7, Costos!G36,0)</f>
        <v>0</v>
      </c>
      <c r="S23" s="1">
        <f>IF(Costos!E36= $S$7, Costos!G36,0)</f>
        <v>0</v>
      </c>
    </row>
    <row r="24" spans="1:19">
      <c r="A24" s="8">
        <v>22</v>
      </c>
      <c r="B24" s="42">
        <f t="shared" si="1"/>
        <v>62500000</v>
      </c>
      <c r="C24" s="42">
        <f t="shared" si="0"/>
        <v>59159382.049271867</v>
      </c>
      <c r="D24" s="42">
        <f>SUM($C$2:C24)</f>
        <v>-520965888.93514854</v>
      </c>
      <c r="E24" s="1"/>
      <c r="M24">
        <v>17</v>
      </c>
      <c r="N24" s="1">
        <f>IF(Costos!E37= $N$7, Costos!G37,0)</f>
        <v>-80000000</v>
      </c>
      <c r="O24" s="1">
        <f>IF(Costos!E37= $O$7, Costos!G37,0)</f>
        <v>0</v>
      </c>
      <c r="P24" s="1">
        <f>IF(Costos!E37= $P$7, Costos!G37,0)</f>
        <v>0</v>
      </c>
      <c r="Q24" s="1">
        <f>IF(Costos!E37= $Q$7, Costos!G37,0)</f>
        <v>0</v>
      </c>
      <c r="R24" s="1">
        <f>IF(Costos!E37= $R$7, Costos!G37,0)</f>
        <v>0</v>
      </c>
      <c r="S24" s="1">
        <f>IF(Costos!E37= $S$7, Costos!G37,0)</f>
        <v>0</v>
      </c>
    </row>
    <row r="25" spans="1:19">
      <c r="A25" s="8">
        <v>23</v>
      </c>
      <c r="B25" s="42">
        <f t="shared" si="1"/>
        <v>62500000</v>
      </c>
      <c r="C25" s="42">
        <f t="shared" si="0"/>
        <v>59011852.418226302</v>
      </c>
      <c r="D25" s="42">
        <f>SUM($C$2:C25)</f>
        <v>-461954036.51692224</v>
      </c>
      <c r="E25" s="1"/>
      <c r="M25">
        <v>18</v>
      </c>
      <c r="N25" s="1">
        <f>IF(Costos!E38= $N$7, Costos!G38,0)</f>
        <v>-80000000</v>
      </c>
      <c r="O25" s="1">
        <f>IF(Costos!E38= $O$7, Costos!G38,0)</f>
        <v>0</v>
      </c>
      <c r="P25" s="1">
        <f>IF(Costos!E38= $P$7, Costos!G38,0)</f>
        <v>0</v>
      </c>
      <c r="Q25" s="1">
        <f>IF(Costos!E38= $Q$7, Costos!G38,0)</f>
        <v>0</v>
      </c>
      <c r="R25" s="1">
        <f>IF(Costos!E38= $R$7, Costos!G38,0)</f>
        <v>0</v>
      </c>
      <c r="S25" s="1">
        <f>IF(Costos!E38= $S$7, Costos!G38,0)</f>
        <v>0</v>
      </c>
    </row>
    <row r="26" spans="1:19">
      <c r="A26" s="8">
        <v>24</v>
      </c>
      <c r="B26" s="42">
        <f t="shared" si="1"/>
        <v>-33860000</v>
      </c>
      <c r="C26" s="42">
        <f t="shared" si="0"/>
        <v>-31890534.829025716</v>
      </c>
      <c r="D26" s="42">
        <f>SUM($C$2:C26)</f>
        <v>-493844571.34594798</v>
      </c>
      <c r="E26" s="1"/>
      <c r="M26">
        <v>19</v>
      </c>
      <c r="N26" s="1">
        <f>IF(Costos!E39= $N$7, Costos!G39,0)</f>
        <v>-900000000</v>
      </c>
      <c r="O26" s="1">
        <f>IF(Costos!E39= $O$7, Costos!G39,0)</f>
        <v>0</v>
      </c>
      <c r="P26" s="1">
        <f>IF(Costos!E39= $P$7, Costos!G39,0)</f>
        <v>0</v>
      </c>
      <c r="Q26" s="1">
        <f>IF(Costos!E39= $Q$7, Costos!G39,0)</f>
        <v>0</v>
      </c>
      <c r="R26" s="1">
        <f>IF(Costos!E39= $R$7, Costos!G39,0)</f>
        <v>0</v>
      </c>
      <c r="S26" s="1">
        <f>IF(Costos!E39= $S$7, Costos!G39,0)</f>
        <v>0</v>
      </c>
    </row>
    <row r="27" spans="1:19">
      <c r="A27" s="8">
        <v>25</v>
      </c>
      <c r="B27" s="42">
        <f t="shared" si="1"/>
        <v>62500000</v>
      </c>
      <c r="C27" s="42">
        <f t="shared" si="0"/>
        <v>58717895.951618508</v>
      </c>
      <c r="D27" s="42">
        <f>SUM($C$2:C27)</f>
        <v>-435126675.39432949</v>
      </c>
      <c r="E27" s="1"/>
      <c r="M27">
        <v>20</v>
      </c>
      <c r="N27" s="1">
        <f>IF(Costos!E40= $N$7, Costos!G40,0)</f>
        <v>0</v>
      </c>
      <c r="O27" s="1">
        <f>IF(Costos!E40= $O$7, Costos!G40,0)</f>
        <v>-3000000</v>
      </c>
      <c r="P27" s="1">
        <f>IF(Costos!E40= $P$7, Costos!G40,0)</f>
        <v>0</v>
      </c>
      <c r="Q27" s="1">
        <f>IF(Costos!E40= $Q$7, Costos!G40,0)</f>
        <v>0</v>
      </c>
      <c r="R27" s="1">
        <f>IF(Costos!E40= $R$7, Costos!G40,0)</f>
        <v>0</v>
      </c>
      <c r="S27" s="1">
        <f>IF(Costos!E40= $S$7, Costos!G40,0)</f>
        <v>0</v>
      </c>
    </row>
    <row r="28" spans="1:19">
      <c r="A28" s="8">
        <v>26</v>
      </c>
      <c r="B28" s="42">
        <f t="shared" si="1"/>
        <v>62500000</v>
      </c>
      <c r="C28" s="42">
        <f t="shared" si="0"/>
        <v>58571467.283409983</v>
      </c>
      <c r="D28" s="42">
        <f>SUM($C$2:C28)</f>
        <v>-376555208.11091948</v>
      </c>
      <c r="E28" s="1"/>
      <c r="M28">
        <v>21</v>
      </c>
      <c r="N28" s="1">
        <f>IF(Costos!E41= $N$7, Costos!G41,0)</f>
        <v>-5600000</v>
      </c>
      <c r="O28" s="1">
        <f>IF(Costos!E41= $O$7, Costos!G41,0)</f>
        <v>0</v>
      </c>
      <c r="P28" s="1">
        <f>IF(Costos!E41= $P$7, Costos!G41,0)</f>
        <v>0</v>
      </c>
      <c r="Q28" s="1">
        <f>IF(Costos!E41= $Q$7, Costos!G41,0)</f>
        <v>0</v>
      </c>
      <c r="R28" s="1">
        <f>IF(Costos!E41= $R$7, Costos!G41,0)</f>
        <v>0</v>
      </c>
      <c r="S28" s="1">
        <f>IF(Costos!E41= $S$7, Costos!G41,0)</f>
        <v>0</v>
      </c>
    </row>
    <row r="29" spans="1:19">
      <c r="A29" s="8">
        <v>27</v>
      </c>
      <c r="B29" s="42">
        <f t="shared" si="1"/>
        <v>56140000</v>
      </c>
      <c r="C29" s="42">
        <f t="shared" si="0"/>
        <v>52480034.685935356</v>
      </c>
      <c r="D29" s="42">
        <f>SUM($C$2:C29)</f>
        <v>-324075173.4249841</v>
      </c>
      <c r="E29" s="1"/>
      <c r="M29">
        <v>22</v>
      </c>
      <c r="N29" s="1">
        <f>IF(Costos!E42= $N$7, Costos!G42,0)</f>
        <v>-240000</v>
      </c>
      <c r="O29" s="1">
        <f>IF(Costos!E42= $O$7, Costos!G42,0)</f>
        <v>0</v>
      </c>
      <c r="P29" s="1">
        <f>IF(Costos!E42= $P$7, Costos!G42,0)</f>
        <v>0</v>
      </c>
      <c r="Q29" s="1">
        <f>IF(Costos!E42= $Q$7, Costos!G42,0)</f>
        <v>0</v>
      </c>
      <c r="R29" s="1">
        <f>IF(Costos!E42= $R$7, Costos!G42,0)</f>
        <v>0</v>
      </c>
      <c r="S29" s="1">
        <f>IF(Costos!E42= $S$7, Costos!G42,0)</f>
        <v>0</v>
      </c>
    </row>
    <row r="30" spans="1:19">
      <c r="A30" s="8">
        <v>28</v>
      </c>
      <c r="B30" s="42">
        <f t="shared" si="1"/>
        <v>62500000</v>
      </c>
      <c r="C30" s="42">
        <f t="shared" si="0"/>
        <v>58279704.512693323</v>
      </c>
      <c r="D30" s="42">
        <f>SUM($C$2:C30)</f>
        <v>-265795468.91229078</v>
      </c>
      <c r="E30" s="1"/>
      <c r="M30">
        <v>23</v>
      </c>
      <c r="N30" s="1">
        <f>IF(Costos!E43= $N$7, Costos!G43,0)</f>
        <v>-31000000</v>
      </c>
      <c r="O30" s="1">
        <f>IF(Costos!E43= $O$7, Costos!G43,0)</f>
        <v>0</v>
      </c>
      <c r="P30" s="1">
        <f>IF(Costos!E43= $P$7, Costos!G43,0)</f>
        <v>0</v>
      </c>
      <c r="Q30" s="1">
        <f>IF(Costos!E43= $Q$7, Costos!G43,0)</f>
        <v>0</v>
      </c>
      <c r="R30" s="1">
        <f>IF(Costos!E43= $R$7, Costos!G43,0)</f>
        <v>0</v>
      </c>
      <c r="S30" s="1">
        <f>IF(Costos!E43= $S$7, Costos!G43,0)</f>
        <v>0</v>
      </c>
    </row>
    <row r="31" spans="1:19">
      <c r="A31" s="8">
        <v>29</v>
      </c>
      <c r="B31" s="42">
        <f t="shared" si="1"/>
        <v>62500000</v>
      </c>
      <c r="C31" s="42">
        <f t="shared" si="0"/>
        <v>58134368.591215275</v>
      </c>
      <c r="D31" s="42">
        <f>SUM($C$2:C31)</f>
        <v>-207661100.3210755</v>
      </c>
      <c r="M31">
        <v>24</v>
      </c>
      <c r="N31" s="1">
        <f>IF(Costos!E44= $N$7, Costos!G44,0)</f>
        <v>-21700000</v>
      </c>
      <c r="O31" s="1">
        <f>IF(Costos!E44= $O$7, Costos!G44,0)</f>
        <v>0</v>
      </c>
      <c r="P31" s="1">
        <f>IF(Costos!E44= $P$7, Costos!G44,0)</f>
        <v>0</v>
      </c>
      <c r="Q31" s="1">
        <f>IF(Costos!E44= $Q$7, Costos!G44,0)</f>
        <v>0</v>
      </c>
      <c r="R31" s="1">
        <f>IF(Costos!E44= $R$7, Costos!G44,0)</f>
        <v>0</v>
      </c>
      <c r="S31" s="1">
        <f>IF(Costos!E44= $S$7, Costos!G44,0)</f>
        <v>0</v>
      </c>
    </row>
    <row r="32" spans="1:19">
      <c r="A32" s="8">
        <v>30</v>
      </c>
      <c r="B32" s="42">
        <f t="shared" si="1"/>
        <v>56140000</v>
      </c>
      <c r="C32" s="42">
        <f t="shared" si="0"/>
        <v>52088394.257728904</v>
      </c>
      <c r="D32" s="42">
        <f>SUM($C$2:C32)</f>
        <v>-155572706.06334659</v>
      </c>
      <c r="M32">
        <v>25</v>
      </c>
      <c r="N32" s="1">
        <f>IF(Costos!E45= $N$7, Costos!G45,0)</f>
        <v>-119000</v>
      </c>
      <c r="O32" s="1">
        <f>IF(Costos!E45= $O$7, Costos!G45,0)</f>
        <v>0</v>
      </c>
      <c r="P32" s="1">
        <f>IF(Costos!E45= $P$7, Costos!G45,0)</f>
        <v>0</v>
      </c>
      <c r="Q32" s="1">
        <f>IF(Costos!E45= $Q$7, Costos!G45,0)</f>
        <v>0</v>
      </c>
      <c r="R32" s="1">
        <f>IF(Costos!E45= $R$7, Costos!G45,0)</f>
        <v>0</v>
      </c>
      <c r="S32" s="1">
        <f>IF(Costos!E45= $S$7, Costos!G45,0)</f>
        <v>0</v>
      </c>
    </row>
    <row r="33" spans="1:19">
      <c r="A33" s="8">
        <v>31</v>
      </c>
      <c r="B33" s="42">
        <f t="shared" si="1"/>
        <v>62500000</v>
      </c>
      <c r="C33" s="42">
        <f t="shared" si="0"/>
        <v>57844783.145592675</v>
      </c>
      <c r="D33" s="42">
        <f>SUM($C$2:C33)</f>
        <v>-97727922.91775392</v>
      </c>
      <c r="M33">
        <v>26</v>
      </c>
      <c r="N33" s="1">
        <f>IF(Costos!E46= $N$7, Costos!G46,0)</f>
        <v>0</v>
      </c>
      <c r="O33" s="1">
        <f>IF(Costos!E46= $O$7, Costos!G46,0)</f>
        <v>0</v>
      </c>
      <c r="P33" s="1">
        <f>IF(Costos!E46= $P$7, Costos!G46,0)</f>
        <v>0</v>
      </c>
      <c r="Q33" s="1">
        <f>IF(Costos!E46= $Q$7, Costos!G46,0)</f>
        <v>0</v>
      </c>
      <c r="R33" s="1">
        <f>IF(Costos!E46= $R$7, Costos!G46,0)</f>
        <v>0</v>
      </c>
      <c r="S33" s="1">
        <f>IF(Costos!E46= $S$7, Costos!G46,0)</f>
        <v>-90000000</v>
      </c>
    </row>
    <row r="34" spans="1:19">
      <c r="A34" s="8">
        <v>32</v>
      </c>
      <c r="B34" s="42">
        <f t="shared" si="1"/>
        <v>62500000</v>
      </c>
      <c r="C34" s="42">
        <f t="shared" ref="C34:C65" si="2">-PV($K$1,A34,,B34)</f>
        <v>57700531.816052534</v>
      </c>
      <c r="D34" s="42">
        <f>SUM($C$2:C34)</f>
        <v>-40027391.101701386</v>
      </c>
      <c r="M34">
        <v>27</v>
      </c>
      <c r="N34" s="1">
        <f>IF(Costos!E47= $N$7, Costos!G47,0)</f>
        <v>0</v>
      </c>
      <c r="O34" s="1">
        <f>IF(Costos!E47= $O$7, Costos!G47,0)</f>
        <v>0</v>
      </c>
      <c r="P34" s="1">
        <f>IF(Costos!E47= $P$7, Costos!G47,0)</f>
        <v>0</v>
      </c>
      <c r="Q34" s="1">
        <f>IF(Costos!E47= $Q$7, Costos!G47,0)</f>
        <v>0</v>
      </c>
      <c r="R34" s="1">
        <f>IF(Costos!E47= $R$7, Costos!G47,0)</f>
        <v>0</v>
      </c>
      <c r="S34" s="1">
        <f>IF(Costos!E47= $S$7, Costos!G47,0)</f>
        <v>0</v>
      </c>
    </row>
    <row r="35" spans="1:19">
      <c r="A35" s="8">
        <v>33</v>
      </c>
      <c r="B35" s="42">
        <f t="shared" ref="B35:B66" si="3">IF(A35=0,$N$42,0)+IF(A35=0,0,$O$42)+IF(MOD(A35,2)=0,$P$42,0)+IF(MOD(A35,3)=0,$Q$42,0)+IF(MOD(A35,6)=0,$R$42,0)+IF(MOD(A35,12)=0,$S$42,0)</f>
        <v>56140000</v>
      </c>
      <c r="C35" s="42">
        <f t="shared" si="2"/>
        <v>51699676.507183075</v>
      </c>
      <c r="D35" s="42">
        <f>SUM($C$2:C35)</f>
        <v>11672285.405481689</v>
      </c>
      <c r="M35">
        <v>28</v>
      </c>
      <c r="N35" s="1">
        <f>IF(Costos!E48= $N$7, Costos!G48,0)</f>
        <v>0</v>
      </c>
      <c r="O35" s="1">
        <f>IF(Costos!E48= $O$7, Costos!G48,0)</f>
        <v>0</v>
      </c>
      <c r="P35" s="1">
        <f>IF(Costos!E48= $P$7, Costos!G48,0)</f>
        <v>0</v>
      </c>
      <c r="Q35" s="1">
        <f>IF(Costos!E48= $Q$7, Costos!G48,0)</f>
        <v>0</v>
      </c>
      <c r="R35" s="1">
        <f>IF(Costos!E48= $R$7, Costos!G48,0)</f>
        <v>0</v>
      </c>
      <c r="S35" s="1">
        <f>IF(Costos!E48= $S$7, Costos!G48,0)</f>
        <v>0</v>
      </c>
    </row>
    <row r="36" spans="1:19">
      <c r="A36" s="8">
        <v>34</v>
      </c>
      <c r="B36" s="42">
        <f t="shared" si="3"/>
        <v>62500000</v>
      </c>
      <c r="C36" s="42">
        <f t="shared" si="2"/>
        <v>57413107.446896516</v>
      </c>
      <c r="D36" s="42">
        <f>SUM($C$2:C36)</f>
        <v>69085392.852378204</v>
      </c>
      <c r="M36">
        <v>29</v>
      </c>
      <c r="N36" s="1">
        <f>IF(Costos!E49= $N$7, Costos!G49,0)</f>
        <v>0</v>
      </c>
      <c r="O36" s="1">
        <f>IF(Costos!E49= $O$7, Costos!G49,0)</f>
        <v>0</v>
      </c>
      <c r="P36" s="1">
        <f>IF(Costos!E49= $P$7, Costos!G49,0)</f>
        <v>0</v>
      </c>
      <c r="Q36" s="1">
        <f>IF(Costos!E49= $Q$7, Costos!G49,0)</f>
        <v>0</v>
      </c>
      <c r="R36" s="1">
        <f>IF(Costos!E49= $R$7, Costos!G49,0)</f>
        <v>0</v>
      </c>
      <c r="S36" s="1">
        <f>IF(Costos!E49= $S$7, Costos!G49,0)</f>
        <v>0</v>
      </c>
    </row>
    <row r="37" spans="1:19">
      <c r="A37" s="8">
        <v>35</v>
      </c>
      <c r="B37" s="42">
        <f t="shared" si="3"/>
        <v>62500000</v>
      </c>
      <c r="C37" s="42">
        <f t="shared" si="2"/>
        <v>57269932.615358129</v>
      </c>
      <c r="D37" s="42">
        <f>SUM($C$2:C37)</f>
        <v>126355325.46773633</v>
      </c>
      <c r="M37">
        <v>30</v>
      </c>
      <c r="N37" s="1">
        <f>IF(Costos!E50= $N$7, Costos!G50,0)</f>
        <v>0</v>
      </c>
      <c r="O37" s="1">
        <f>IF(Costos!E50= $O$7, Costos!G50,0)</f>
        <v>0</v>
      </c>
      <c r="P37" s="1">
        <f>IF(Costos!E50= $P$7, Costos!G50,0)</f>
        <v>0</v>
      </c>
      <c r="Q37" s="1">
        <f>IF(Costos!E50= $Q$7, Costos!G50,0)</f>
        <v>0</v>
      </c>
      <c r="R37" s="1">
        <f>IF(Costos!E50= $R$7, Costos!G50,0)</f>
        <v>0</v>
      </c>
      <c r="S37" s="1">
        <f>IF(Costos!E50= $S$7, Costos!G50,0)</f>
        <v>0</v>
      </c>
    </row>
    <row r="38" spans="1:19">
      <c r="A38" s="8">
        <v>36</v>
      </c>
      <c r="B38" s="42">
        <f t="shared" si="3"/>
        <v>-33860000</v>
      </c>
      <c r="C38" s="42">
        <f t="shared" si="2"/>
        <v>-30949185.729372982</v>
      </c>
      <c r="D38" s="42">
        <f>SUM($C$2:C38)</f>
        <v>95406139.738363355</v>
      </c>
      <c r="M38">
        <v>31</v>
      </c>
      <c r="N38" s="1">
        <f>IF(Costos!E51= $N$7, Costos!G51,0)</f>
        <v>0</v>
      </c>
      <c r="O38" s="1">
        <f>IF(Costos!E51= $O$7, Costos!G51,0)</f>
        <v>0</v>
      </c>
      <c r="P38" s="1">
        <f>IF(Costos!E51= $P$7, Costos!G51,0)</f>
        <v>0</v>
      </c>
      <c r="Q38" s="1">
        <f>IF(Costos!E51= $Q$7, Costos!G51,0)</f>
        <v>0</v>
      </c>
      <c r="R38" s="1">
        <f>IF(Costos!E51= $R$7, Costos!G51,0)</f>
        <v>0</v>
      </c>
      <c r="S38" s="1">
        <f>IF(Costos!E51= $S$7, Costos!G51,0)</f>
        <v>0</v>
      </c>
    </row>
    <row r="39" spans="1:19">
      <c r="A39" s="8">
        <v>37</v>
      </c>
      <c r="B39" s="42">
        <f t="shared" si="3"/>
        <v>62500000</v>
      </c>
      <c r="C39" s="42">
        <f t="shared" si="2"/>
        <v>56984653.195299156</v>
      </c>
      <c r="D39" s="42">
        <f>SUM($C$2:C39)</f>
        <v>152390792.9336625</v>
      </c>
      <c r="M39">
        <v>32</v>
      </c>
      <c r="N39" s="1">
        <f>IF(Costos!E52= $N$7, Costos!G52,0)</f>
        <v>0</v>
      </c>
      <c r="O39" s="1">
        <f>IF(Costos!E52= $O$7, Costos!G52,0)</f>
        <v>0</v>
      </c>
      <c r="P39" s="1">
        <f>IF(Costos!E52= $P$7, Costos!G52,0)</f>
        <v>0</v>
      </c>
      <c r="Q39" s="1">
        <f>IF(Costos!E52= $Q$7, Costos!G52,0)</f>
        <v>0</v>
      </c>
      <c r="R39" s="1">
        <f>IF(Costos!E52= $R$7, Costos!G52,0)</f>
        <v>0</v>
      </c>
      <c r="S39" s="1">
        <f>IF(Costos!E52= $S$7, Costos!G52,0)</f>
        <v>0</v>
      </c>
    </row>
    <row r="40" spans="1:19">
      <c r="A40" s="8">
        <v>38</v>
      </c>
      <c r="B40" s="42">
        <f t="shared" si="3"/>
        <v>62500000</v>
      </c>
      <c r="C40" s="42">
        <f t="shared" si="2"/>
        <v>56842546.8282286</v>
      </c>
      <c r="D40" s="42">
        <f>SUM($C$2:C40)</f>
        <v>209233339.7618911</v>
      </c>
      <c r="M40">
        <v>33</v>
      </c>
      <c r="N40" s="1">
        <f>IF(Costos!E53= $N$7, Costos!G53,0)</f>
        <v>0</v>
      </c>
      <c r="O40" s="1">
        <f>IF(Costos!E53= $O$7, Costos!G53,0)</f>
        <v>0</v>
      </c>
      <c r="P40" s="1">
        <f>IF(Costos!E53= $P$7, Costos!G53,0)</f>
        <v>0</v>
      </c>
      <c r="Q40" s="1">
        <f>IF(Costos!E53= $Q$7, Costos!G53,0)</f>
        <v>0</v>
      </c>
      <c r="R40" s="1">
        <f>IF(Costos!E53= $R$7, Costos!G53,0)</f>
        <v>0</v>
      </c>
      <c r="S40" s="1">
        <f>IF(Costos!E53= $S$7, Costos!G53,0)</f>
        <v>0</v>
      </c>
    </row>
    <row r="41" spans="1:19">
      <c r="A41" s="8">
        <v>39</v>
      </c>
      <c r="B41" s="42">
        <f t="shared" si="3"/>
        <v>56140000</v>
      </c>
      <c r="C41" s="42">
        <f t="shared" si="2"/>
        <v>50930921.958092824</v>
      </c>
      <c r="D41" s="42">
        <f>SUM($C$2:C41)</f>
        <v>260164261.71998394</v>
      </c>
      <c r="M41">
        <v>34</v>
      </c>
      <c r="N41" s="1">
        <f>IF(Costos!E54= $N$7, Costos!G54,0)</f>
        <v>0</v>
      </c>
      <c r="O41" s="1">
        <f>IF(Costos!E54= $O$7, Costos!G54,0)</f>
        <v>0</v>
      </c>
      <c r="P41" s="1">
        <f>IF(Costos!E54= $P$7, Costos!G54,0)</f>
        <v>0</v>
      </c>
      <c r="Q41" s="1">
        <f>IF(Costos!E54= $Q$7, Costos!G54,0)</f>
        <v>0</v>
      </c>
      <c r="R41" s="1">
        <f>IF(Costos!E54= $R$7, Costos!G54,0)</f>
        <v>0</v>
      </c>
      <c r="S41" s="1">
        <f>IF(Costos!E54= $S$7, Costos!G54,0)</f>
        <v>0</v>
      </c>
    </row>
    <row r="42" spans="1:19">
      <c r="A42" s="8">
        <v>40</v>
      </c>
      <c r="B42" s="42">
        <f t="shared" si="3"/>
        <v>62500000</v>
      </c>
      <c r="C42" s="42">
        <f t="shared" si="2"/>
        <v>56559396.350250155</v>
      </c>
      <c r="D42" s="42">
        <f>SUM($C$2:C42)</f>
        <v>316723658.07023406</v>
      </c>
      <c r="M42" t="s">
        <v>17</v>
      </c>
      <c r="N42" s="1">
        <f>SUM(N8:N41)</f>
        <v>-1726659000</v>
      </c>
      <c r="O42" s="1">
        <f t="shared" ref="O42:S42" si="4">SUM(O8:O41)</f>
        <v>62500000</v>
      </c>
      <c r="P42" s="1">
        <f t="shared" si="4"/>
        <v>0</v>
      </c>
      <c r="Q42" s="1">
        <f t="shared" si="4"/>
        <v>-6360000</v>
      </c>
      <c r="R42" s="1">
        <f t="shared" si="4"/>
        <v>0</v>
      </c>
      <c r="S42" s="1">
        <f t="shared" si="4"/>
        <v>-90000000</v>
      </c>
    </row>
    <row r="43" spans="1:19">
      <c r="A43" s="8">
        <v>41</v>
      </c>
      <c r="B43" s="42">
        <f t="shared" si="3"/>
        <v>62500000</v>
      </c>
      <c r="C43" s="42">
        <f t="shared" si="2"/>
        <v>56418350.474064998</v>
      </c>
      <c r="D43" s="42">
        <f>SUM($C$2:C43)</f>
        <v>373142008.54429907</v>
      </c>
    </row>
    <row r="44" spans="1:19">
      <c r="A44" s="8">
        <v>42</v>
      </c>
      <c r="B44" s="42">
        <f t="shared" si="3"/>
        <v>56140000</v>
      </c>
      <c r="C44" s="42">
        <f t="shared" si="2"/>
        <v>50550842.024762243</v>
      </c>
      <c r="D44" s="42">
        <f>SUM($C$2:C44)</f>
        <v>423692850.56906128</v>
      </c>
    </row>
    <row r="45" spans="1:19">
      <c r="A45" s="8">
        <v>43</v>
      </c>
      <c r="B45" s="42">
        <f t="shared" si="3"/>
        <v>62500000</v>
      </c>
      <c r="C45" s="42">
        <f t="shared" si="2"/>
        <v>56137313.050605416</v>
      </c>
      <c r="D45" s="42">
        <f>SUM($C$2:C45)</f>
        <v>479830163.6196667</v>
      </c>
    </row>
    <row r="46" spans="1:19">
      <c r="A46" s="8">
        <v>44</v>
      </c>
      <c r="B46" s="42">
        <f t="shared" si="3"/>
        <v>62500000</v>
      </c>
      <c r="C46" s="42">
        <f t="shared" si="2"/>
        <v>55997319.751227349</v>
      </c>
      <c r="D46" s="42">
        <f>SUM($C$2:C46)</f>
        <v>535827483.37089407</v>
      </c>
    </row>
    <row r="47" spans="1:19">
      <c r="A47" s="8">
        <v>45</v>
      </c>
      <c r="B47" s="42">
        <f t="shared" si="3"/>
        <v>56140000</v>
      </c>
      <c r="C47" s="42">
        <f t="shared" si="2"/>
        <v>50173598.497099698</v>
      </c>
      <c r="D47" s="42">
        <f>SUM($C$2:C47)</f>
        <v>586001081.86799383</v>
      </c>
    </row>
    <row r="48" spans="1:19">
      <c r="A48" s="8">
        <v>46</v>
      </c>
      <c r="B48" s="42">
        <f t="shared" si="3"/>
        <v>62500000</v>
      </c>
      <c r="C48" s="42">
        <f t="shared" si="2"/>
        <v>55718379.613288336</v>
      </c>
      <c r="D48" s="42">
        <f>SUM($C$2:C48)</f>
        <v>641719461.48128211</v>
      </c>
    </row>
    <row r="49" spans="1:4">
      <c r="A49" s="8">
        <v>47</v>
      </c>
      <c r="B49" s="42">
        <f t="shared" si="3"/>
        <v>62500000</v>
      </c>
      <c r="C49" s="42">
        <f t="shared" si="2"/>
        <v>55579431.035699092</v>
      </c>
      <c r="D49" s="42">
        <f>SUM($C$2:C49)</f>
        <v>697298892.51698124</v>
      </c>
    </row>
    <row r="50" spans="1:4">
      <c r="A50" s="8">
        <v>48</v>
      </c>
      <c r="B50" s="42">
        <f t="shared" si="3"/>
        <v>-33860000</v>
      </c>
      <c r="C50" s="42">
        <f t="shared" si="2"/>
        <v>-30035623.499152452</v>
      </c>
      <c r="D50" s="42">
        <f>SUM($C$2:C50)</f>
        <v>667263269.01782882</v>
      </c>
    </row>
    <row r="51" spans="1:4">
      <c r="A51" s="8">
        <v>49</v>
      </c>
      <c r="B51" s="42">
        <f t="shared" si="3"/>
        <v>62500000</v>
      </c>
      <c r="C51" s="42">
        <f t="shared" si="2"/>
        <v>55302572.531960964</v>
      </c>
      <c r="D51" s="42">
        <f>SUM($C$2:C51)</f>
        <v>722565841.54978979</v>
      </c>
    </row>
    <row r="52" spans="1:4">
      <c r="A52" s="8">
        <v>50</v>
      </c>
      <c r="B52" s="42">
        <f t="shared" si="3"/>
        <v>62500000</v>
      </c>
      <c r="C52" s="42">
        <f t="shared" si="2"/>
        <v>55164660.879761547</v>
      </c>
      <c r="D52" s="42">
        <f>SUM($C$2:C52)</f>
        <v>777730502.42955136</v>
      </c>
    </row>
    <row r="53" spans="1:4">
      <c r="A53" s="8">
        <v>51</v>
      </c>
      <c r="B53" s="42">
        <f t="shared" si="3"/>
        <v>56140000</v>
      </c>
      <c r="C53" s="42">
        <f t="shared" si="2"/>
        <v>49427536.14826636</v>
      </c>
      <c r="D53" s="42">
        <f>SUM($C$2:C53)</f>
        <v>827158038.57781768</v>
      </c>
    </row>
    <row r="54" spans="1:4">
      <c r="A54" s="8">
        <v>52</v>
      </c>
      <c r="B54" s="42">
        <f t="shared" si="3"/>
        <v>62500000</v>
      </c>
      <c r="C54" s="42">
        <f t="shared" si="2"/>
        <v>54889868.475705057</v>
      </c>
      <c r="D54" s="42">
        <f>SUM($C$2:C54)</f>
        <v>882047907.05352271</v>
      </c>
    </row>
    <row r="55" spans="1:4">
      <c r="A55" s="8">
        <v>53</v>
      </c>
      <c r="B55" s="42">
        <f t="shared" si="3"/>
        <v>62500000</v>
      </c>
      <c r="C55" s="42">
        <f t="shared" si="2"/>
        <v>54752986.010678366</v>
      </c>
      <c r="D55" s="42">
        <f>SUM($C$2:C55)</f>
        <v>936800893.06420112</v>
      </c>
    </row>
    <row r="56" spans="1:4">
      <c r="A56" s="8">
        <v>54</v>
      </c>
      <c r="B56" s="42">
        <f t="shared" si="3"/>
        <v>56140000</v>
      </c>
      <c r="C56" s="42">
        <f t="shared" si="2"/>
        <v>49058675.465567827</v>
      </c>
      <c r="D56" s="42">
        <f>SUM($C$2:C56)</f>
        <v>985859568.52976894</v>
      </c>
    </row>
    <row r="57" spans="1:4">
      <c r="A57" s="8">
        <v>55</v>
      </c>
      <c r="B57" s="42">
        <f t="shared" si="3"/>
        <v>62500000</v>
      </c>
      <c r="C57" s="42">
        <f t="shared" si="2"/>
        <v>54480244.287713014</v>
      </c>
      <c r="D57" s="42">
        <f>SUM($C$2:C57)</f>
        <v>1040339812.817482</v>
      </c>
    </row>
    <row r="58" spans="1:4">
      <c r="A58" s="8">
        <v>56</v>
      </c>
      <c r="B58" s="42">
        <f t="shared" si="3"/>
        <v>62500000</v>
      </c>
      <c r="C58" s="42">
        <f t="shared" si="2"/>
        <v>54344383.32938955</v>
      </c>
      <c r="D58" s="42">
        <f>SUM($C$2:C58)</f>
        <v>1094684196.1468716</v>
      </c>
    </row>
    <row r="59" spans="1:4">
      <c r="A59" s="8">
        <v>57</v>
      </c>
      <c r="B59" s="42">
        <f t="shared" si="3"/>
        <v>56140000</v>
      </c>
      <c r="C59" s="42">
        <f t="shared" si="2"/>
        <v>48692567.46313303</v>
      </c>
      <c r="D59" s="42">
        <f>SUM($C$2:C59)</f>
        <v>1143376763.6100047</v>
      </c>
    </row>
    <row r="60" spans="1:4">
      <c r="A60" s="8">
        <v>58</v>
      </c>
      <c r="B60" s="42">
        <f t="shared" si="3"/>
        <v>62500000</v>
      </c>
      <c r="C60" s="42">
        <f t="shared" si="2"/>
        <v>54073676.983988449</v>
      </c>
      <c r="D60" s="42">
        <f>SUM($C$2:C60)</f>
        <v>1197450440.5939932</v>
      </c>
    </row>
    <row r="61" spans="1:4">
      <c r="A61" s="8">
        <v>59</v>
      </c>
      <c r="B61" s="42">
        <f t="shared" si="3"/>
        <v>62500000</v>
      </c>
      <c r="C61" s="42">
        <f t="shared" si="2"/>
        <v>53938829.909215413</v>
      </c>
      <c r="D61" s="42">
        <f>SUM($C$2:C61)</f>
        <v>1251389270.5032086</v>
      </c>
    </row>
    <row r="62" spans="1:4">
      <c r="A62" s="8">
        <v>60</v>
      </c>
      <c r="B62" s="42">
        <f t="shared" si="3"/>
        <v>-33860000</v>
      </c>
      <c r="C62" s="42">
        <f t="shared" si="2"/>
        <v>-29149027.921812017</v>
      </c>
      <c r="D62" s="42">
        <f>SUM($C$2:C62)</f>
        <v>1222240242.5813966</v>
      </c>
    </row>
    <row r="63" spans="1:4">
      <c r="A63" s="8">
        <v>61</v>
      </c>
      <c r="B63" s="42">
        <f t="shared" si="3"/>
        <v>62500000</v>
      </c>
      <c r="C63" s="42">
        <f t="shared" si="2"/>
        <v>53670143.752056673</v>
      </c>
      <c r="D63" s="42">
        <f>SUM($C$2:C63)</f>
        <v>1275910386.3334532</v>
      </c>
    </row>
    <row r="64" spans="1:4">
      <c r="A64" s="8">
        <v>62</v>
      </c>
      <c r="B64" s="42">
        <f t="shared" si="3"/>
        <v>62500000</v>
      </c>
      <c r="C64" s="42">
        <f t="shared" si="2"/>
        <v>53536302.994570263</v>
      </c>
      <c r="D64" s="42">
        <f>SUM($C$2:C64)</f>
        <v>1329446689.3280234</v>
      </c>
    </row>
    <row r="65" spans="1:4">
      <c r="A65" s="8">
        <v>63</v>
      </c>
      <c r="B65" s="42">
        <f t="shared" si="3"/>
        <v>56140000</v>
      </c>
      <c r="C65" s="42">
        <f t="shared" si="2"/>
        <v>47968527.48313497</v>
      </c>
      <c r="D65" s="42">
        <f>SUM($C$2:C65)</f>
        <v>1377415216.8111584</v>
      </c>
    </row>
    <row r="66" spans="1:4">
      <c r="A66" s="8">
        <v>64</v>
      </c>
      <c r="B66" s="42">
        <f t="shared" si="3"/>
        <v>62500000</v>
      </c>
      <c r="C66" s="42">
        <f t="shared" ref="C66:C97" si="5">-PV($K$1,A66,,B66)</f>
        <v>53269621.949684657</v>
      </c>
      <c r="D66" s="42">
        <f>SUM($C$2:C66)</f>
        <v>1430684838.760843</v>
      </c>
    </row>
    <row r="67" spans="1:4">
      <c r="A67" s="8">
        <v>65</v>
      </c>
      <c r="B67" s="42">
        <f t="shared" ref="B67:B98" si="6">IF(A67=0,$N$42,0)+IF(A67=0,0,$O$42)+IF(MOD(A67,2)=0,$P$42,0)+IF(MOD(A67,3)=0,$Q$42,0)+IF(MOD(A67,6)=0,$R$42,0)+IF(MOD(A67,12)=0,$S$42,0)</f>
        <v>62500000</v>
      </c>
      <c r="C67" s="42">
        <f t="shared" si="5"/>
        <v>53136779.999685444</v>
      </c>
      <c r="D67" s="42">
        <f>SUM($C$2:C67)</f>
        <v>1483821618.7605286</v>
      </c>
    </row>
    <row r="68" spans="1:4">
      <c r="A68" s="8">
        <v>66</v>
      </c>
      <c r="B68" s="42">
        <f t="shared" si="6"/>
        <v>56140000</v>
      </c>
      <c r="C68" s="42">
        <f t="shared" si="5"/>
        <v>47610554.879718162</v>
      </c>
      <c r="D68" s="42">
        <f>SUM($C$2:C68)</f>
        <v>1531432173.6402466</v>
      </c>
    </row>
    <row r="69" spans="1:4">
      <c r="A69" s="8">
        <v>67</v>
      </c>
      <c r="B69" s="42">
        <f t="shared" si="6"/>
        <v>62500000</v>
      </c>
      <c r="C69" s="42">
        <f t="shared" si="5"/>
        <v>52872089.103610501</v>
      </c>
      <c r="D69" s="42">
        <f>SUM($C$2:C69)</f>
        <v>1584304262.7438571</v>
      </c>
    </row>
    <row r="70" spans="1:4">
      <c r="A70" s="8">
        <v>68</v>
      </c>
      <c r="B70" s="42">
        <f t="shared" si="6"/>
        <v>62500000</v>
      </c>
      <c r="C70" s="42">
        <f t="shared" si="5"/>
        <v>52740238.507342145</v>
      </c>
      <c r="D70" s="42">
        <f>SUM($C$2:C70)</f>
        <v>1637044501.2511992</v>
      </c>
    </row>
    <row r="71" spans="1:4">
      <c r="A71" s="8">
        <v>69</v>
      </c>
      <c r="B71" s="42">
        <f t="shared" si="6"/>
        <v>56140000</v>
      </c>
      <c r="C71" s="42">
        <f t="shared" si="5"/>
        <v>47255253.702578567</v>
      </c>
      <c r="D71" s="42">
        <f>SUM($C$2:C71)</f>
        <v>1684299754.9537778</v>
      </c>
    </row>
    <row r="72" spans="1:4">
      <c r="A72" s="8">
        <v>70</v>
      </c>
      <c r="B72" s="42">
        <f t="shared" si="6"/>
        <v>62500000</v>
      </c>
      <c r="C72" s="42">
        <f t="shared" si="5"/>
        <v>52477522.908282571</v>
      </c>
      <c r="D72" s="42">
        <f>SUM($C$2:C72)</f>
        <v>1736777277.8620603</v>
      </c>
    </row>
    <row r="73" spans="1:4">
      <c r="A73" s="8">
        <v>71</v>
      </c>
      <c r="B73" s="42">
        <f t="shared" si="6"/>
        <v>62500000</v>
      </c>
      <c r="C73" s="42">
        <f t="shared" si="5"/>
        <v>52346656.267613538</v>
      </c>
      <c r="D73" s="42">
        <f>SUM($C$2:C73)</f>
        <v>1789123934.129674</v>
      </c>
    </row>
    <row r="74" spans="1:4">
      <c r="A74" s="8">
        <v>72</v>
      </c>
      <c r="B74" s="42">
        <f t="shared" si="6"/>
        <v>-33860000</v>
      </c>
      <c r="C74" s="42">
        <f t="shared" si="5"/>
        <v>-28288602.992062155</v>
      </c>
      <c r="D74" s="42">
        <f>SUM($C$2:C74)</f>
        <v>1760835331.1376119</v>
      </c>
    </row>
    <row r="75" spans="1:4">
      <c r="A75" s="8">
        <v>73</v>
      </c>
      <c r="B75" s="42">
        <f t="shared" si="6"/>
        <v>62500000</v>
      </c>
      <c r="C75" s="42">
        <f t="shared" si="5"/>
        <v>52085901.224607848</v>
      </c>
      <c r="D75" s="42">
        <f>SUM($C$2:C75)</f>
        <v>1812921232.3622198</v>
      </c>
    </row>
    <row r="76" spans="1:4">
      <c r="A76" s="8">
        <v>74</v>
      </c>
      <c r="B76" s="42">
        <f t="shared" si="6"/>
        <v>62500000</v>
      </c>
      <c r="C76" s="42">
        <f t="shared" si="5"/>
        <v>51956011.196616307</v>
      </c>
      <c r="D76" s="42">
        <f>SUM($C$2:C76)</f>
        <v>1864877243.5588362</v>
      </c>
    </row>
    <row r="77" spans="1:4">
      <c r="A77" s="8">
        <v>75</v>
      </c>
      <c r="B77" s="42">
        <f t="shared" si="6"/>
        <v>56140000</v>
      </c>
      <c r="C77" s="42">
        <f t="shared" si="5"/>
        <v>46552586.032168217</v>
      </c>
      <c r="D77" s="42">
        <f>SUM($C$2:C77)</f>
        <v>1911429829.5910044</v>
      </c>
    </row>
    <row r="78" spans="1:4">
      <c r="A78" s="8">
        <v>76</v>
      </c>
      <c r="B78" s="42">
        <f t="shared" si="6"/>
        <v>62500000</v>
      </c>
      <c r="C78" s="42">
        <f t="shared" si="5"/>
        <v>51697202.078709774</v>
      </c>
      <c r="D78" s="42">
        <f>SUM($C$2:C78)</f>
        <v>1963127031.6697142</v>
      </c>
    </row>
    <row r="79" spans="1:4">
      <c r="A79" s="8">
        <v>77</v>
      </c>
      <c r="B79" s="42">
        <f t="shared" si="6"/>
        <v>62500000</v>
      </c>
      <c r="C79" s="42">
        <f t="shared" si="5"/>
        <v>51568281.375271589</v>
      </c>
      <c r="D79" s="42">
        <f>SUM($C$2:C79)</f>
        <v>2014695313.0449858</v>
      </c>
    </row>
    <row r="80" spans="1:4">
      <c r="A80" s="8">
        <v>78</v>
      </c>
      <c r="B80" s="42">
        <f t="shared" si="6"/>
        <v>56140000</v>
      </c>
      <c r="C80" s="42">
        <f t="shared" si="5"/>
        <v>46205180.112243354</v>
      </c>
      <c r="D80" s="42">
        <f>SUM($C$2:C80)</f>
        <v>2060900493.1572292</v>
      </c>
    </row>
    <row r="81" spans="1:4">
      <c r="A81" s="8">
        <v>79</v>
      </c>
      <c r="B81" s="42">
        <f t="shared" si="6"/>
        <v>62500000</v>
      </c>
      <c r="C81" s="42">
        <f t="shared" si="5"/>
        <v>51311403.660695247</v>
      </c>
      <c r="D81" s="42">
        <f>SUM($C$2:C81)</f>
        <v>2112211896.8179245</v>
      </c>
    </row>
    <row r="82" spans="1:4">
      <c r="A82" s="8">
        <v>80</v>
      </c>
      <c r="B82" s="42">
        <f t="shared" si="6"/>
        <v>62500000</v>
      </c>
      <c r="C82" s="42">
        <f t="shared" si="5"/>
        <v>51183445.048075058</v>
      </c>
      <c r="D82" s="42">
        <f>SUM($C$2:C82)</f>
        <v>2163395341.8659997</v>
      </c>
    </row>
    <row r="83" spans="1:4">
      <c r="A83" s="8">
        <v>81</v>
      </c>
      <c r="B83" s="42">
        <f t="shared" si="6"/>
        <v>56140000</v>
      </c>
      <c r="C83" s="42">
        <f t="shared" si="5"/>
        <v>45860366.763075262</v>
      </c>
      <c r="D83" s="42">
        <f>SUM($C$2:C83)</f>
        <v>2209255708.6290751</v>
      </c>
    </row>
    <row r="84" spans="1:4">
      <c r="A84" s="8">
        <v>82</v>
      </c>
      <c r="B84" s="42">
        <f t="shared" si="6"/>
        <v>62500000</v>
      </c>
      <c r="C84" s="42">
        <f t="shared" si="5"/>
        <v>50928484.323430881</v>
      </c>
      <c r="D84" s="42">
        <f>SUM($C$2:C84)</f>
        <v>2260184192.9525061</v>
      </c>
    </row>
    <row r="85" spans="1:4">
      <c r="A85" s="8">
        <v>83</v>
      </c>
      <c r="B85" s="42">
        <f t="shared" si="6"/>
        <v>62500000</v>
      </c>
      <c r="C85" s="42">
        <f t="shared" si="5"/>
        <v>50801480.621876195</v>
      </c>
      <c r="D85" s="42">
        <f>SUM($C$2:C85)</f>
        <v>2310985673.5743823</v>
      </c>
    </row>
    <row r="86" spans="1:4">
      <c r="A86" s="8">
        <v>84</v>
      </c>
      <c r="B86" s="42">
        <f t="shared" si="6"/>
        <v>-33860000</v>
      </c>
      <c r="C86" s="42">
        <f t="shared" si="5"/>
        <v>-27453576.201204639</v>
      </c>
      <c r="D86" s="42">
        <f>SUM($C$2:C86)</f>
        <v>2283532097.3731775</v>
      </c>
    </row>
    <row r="87" spans="1:4">
      <c r="A87" s="8">
        <v>85</v>
      </c>
      <c r="B87" s="42">
        <f t="shared" si="6"/>
        <v>62500000</v>
      </c>
      <c r="C87" s="42">
        <f t="shared" si="5"/>
        <v>50548422.581328422</v>
      </c>
      <c r="D87" s="42">
        <f>SUM($C$2:C87)</f>
        <v>2334080519.9545059</v>
      </c>
    </row>
    <row r="88" spans="1:4">
      <c r="A88" s="8">
        <v>86</v>
      </c>
      <c r="B88" s="42">
        <f t="shared" si="6"/>
        <v>62500000</v>
      </c>
      <c r="C88" s="42">
        <f t="shared" si="5"/>
        <v>50422366.664666772</v>
      </c>
      <c r="D88" s="42">
        <f>SUM($C$2:C88)</f>
        <v>2384502886.6191726</v>
      </c>
    </row>
    <row r="89" spans="1:4">
      <c r="A89" s="8">
        <v>87</v>
      </c>
      <c r="B89" s="42">
        <f t="shared" si="6"/>
        <v>56140000</v>
      </c>
      <c r="C89" s="42">
        <f t="shared" si="5"/>
        <v>45178440.531541422</v>
      </c>
      <c r="D89" s="42">
        <f>SUM($C$2:C89)</f>
        <v>2429681327.1507139</v>
      </c>
    </row>
    <row r="90" spans="1:4">
      <c r="A90" s="8">
        <v>88</v>
      </c>
      <c r="B90" s="42">
        <f t="shared" si="6"/>
        <v>62500000</v>
      </c>
      <c r="C90" s="42">
        <f t="shared" si="5"/>
        <v>50171197.109139144</v>
      </c>
      <c r="D90" s="42">
        <f>SUM($C$2:C90)</f>
        <v>2479852524.2598529</v>
      </c>
    </row>
    <row r="91" spans="1:4">
      <c r="A91" s="8">
        <v>89</v>
      </c>
      <c r="B91" s="42">
        <f t="shared" si="6"/>
        <v>62500000</v>
      </c>
      <c r="C91" s="42">
        <f t="shared" si="5"/>
        <v>50046081.904378191</v>
      </c>
      <c r="D91" s="42">
        <f>SUM($C$2:C91)</f>
        <v>2529898606.1642313</v>
      </c>
    </row>
    <row r="92" spans="1:4">
      <c r="A92" s="8">
        <v>90</v>
      </c>
      <c r="B92" s="42">
        <f t="shared" si="6"/>
        <v>56140000</v>
      </c>
      <c r="C92" s="42">
        <f t="shared" si="5"/>
        <v>44841289.386322856</v>
      </c>
      <c r="D92" s="42">
        <f>SUM($C$2:C92)</f>
        <v>2574739895.5505543</v>
      </c>
    </row>
    <row r="93" spans="1:4">
      <c r="A93" s="8">
        <v>91</v>
      </c>
      <c r="B93" s="42">
        <f t="shared" si="6"/>
        <v>62500000</v>
      </c>
      <c r="C93" s="42">
        <f t="shared" si="5"/>
        <v>49796786.740757287</v>
      </c>
      <c r="D93" s="42">
        <f>SUM($C$2:C93)</f>
        <v>2624536682.2913117</v>
      </c>
    </row>
    <row r="94" spans="1:4">
      <c r="A94" s="8">
        <v>92</v>
      </c>
      <c r="B94" s="42">
        <f t="shared" si="6"/>
        <v>62500000</v>
      </c>
      <c r="C94" s="42">
        <f t="shared" si="5"/>
        <v>49672605.227688067</v>
      </c>
      <c r="D94" s="42">
        <f>SUM($C$2:C94)</f>
        <v>2674209287.5189996</v>
      </c>
    </row>
    <row r="95" spans="1:4">
      <c r="A95" s="8">
        <v>93</v>
      </c>
      <c r="B95" s="42">
        <f t="shared" si="6"/>
        <v>56140000</v>
      </c>
      <c r="C95" s="42">
        <f t="shared" si="5"/>
        <v>44506654.284008496</v>
      </c>
      <c r="D95" s="42">
        <f>SUM($C$2:C95)</f>
        <v>2718715941.8030081</v>
      </c>
    </row>
    <row r="96" spans="1:4">
      <c r="A96" s="8">
        <v>94</v>
      </c>
      <c r="B96" s="42">
        <f t="shared" si="6"/>
        <v>62500000</v>
      </c>
      <c r="C96" s="42">
        <f t="shared" si="5"/>
        <v>49425170.468032487</v>
      </c>
      <c r="D96" s="42">
        <f>SUM($C$2:C96)</f>
        <v>2768141112.2710404</v>
      </c>
    </row>
    <row r="97" spans="1:4">
      <c r="A97" s="8">
        <v>95</v>
      </c>
      <c r="B97" s="42">
        <f t="shared" si="6"/>
        <v>62500000</v>
      </c>
      <c r="C97" s="42">
        <f t="shared" si="5"/>
        <v>49301915.678835399</v>
      </c>
      <c r="D97" s="42">
        <f>SUM($C$2:C97)</f>
        <v>2817443027.9498758</v>
      </c>
    </row>
    <row r="98" spans="1:4">
      <c r="A98" s="8">
        <v>96</v>
      </c>
      <c r="B98" s="42">
        <f t="shared" si="6"/>
        <v>-33860000</v>
      </c>
      <c r="C98" s="42">
        <f t="shared" ref="C98:C129" si="7">-PV($K$1,A98,,B98)</f>
        <v>-26643197.84355697</v>
      </c>
      <c r="D98" s="42">
        <f>SUM($C$2:C98)</f>
        <v>2790799830.106319</v>
      </c>
    </row>
    <row r="99" spans="1:4">
      <c r="A99" s="8">
        <v>97</v>
      </c>
      <c r="B99" s="42">
        <f t="shared" ref="B99:B130" si="8">IF(A99=0,$N$42,0)+IF(A99=0,0,$O$42)+IF(MOD(A99,2)=0,$P$42,0)+IF(MOD(A99,3)=0,$Q$42,0)+IF(MOD(A99,6)=0,$R$42,0)+IF(MOD(A99,12)=0,$S$42,0)</f>
        <v>62500000</v>
      </c>
      <c r="C99" s="42">
        <f t="shared" si="7"/>
        <v>49056327.439590938</v>
      </c>
      <c r="D99" s="42">
        <f>SUM($C$2:C99)</f>
        <v>2839856157.5459099</v>
      </c>
    </row>
    <row r="100" spans="1:4">
      <c r="A100" s="8">
        <v>98</v>
      </c>
      <c r="B100" s="42">
        <f t="shared" si="8"/>
        <v>62500000</v>
      </c>
      <c r="C100" s="42">
        <f t="shared" si="7"/>
        <v>48933992.458444841</v>
      </c>
      <c r="D100" s="42">
        <f>SUM($C$2:C100)</f>
        <v>2888790150.004355</v>
      </c>
    </row>
    <row r="101" spans="1:4">
      <c r="A101" s="8">
        <v>99</v>
      </c>
      <c r="B101" s="42">
        <f t="shared" si="8"/>
        <v>56140000</v>
      </c>
      <c r="C101" s="42">
        <f t="shared" si="7"/>
        <v>43844857.242766581</v>
      </c>
      <c r="D101" s="42">
        <f>SUM($C$2:C101)</f>
        <v>2932635007.2471213</v>
      </c>
    </row>
    <row r="102" spans="1:4">
      <c r="A102" s="8">
        <v>100</v>
      </c>
      <c r="B102" s="42">
        <f t="shared" si="8"/>
        <v>62500000</v>
      </c>
      <c r="C102" s="42">
        <f t="shared" si="7"/>
        <v>48690236.959665507</v>
      </c>
      <c r="D102" s="42">
        <f>SUM($C$2:C102)</f>
        <v>2981325244.2067866</v>
      </c>
    </row>
    <row r="103" spans="1:4">
      <c r="A103" s="8">
        <v>101</v>
      </c>
      <c r="B103" s="42">
        <f t="shared" si="8"/>
        <v>62500000</v>
      </c>
      <c r="C103" s="42">
        <f t="shared" si="7"/>
        <v>48568814.922359608</v>
      </c>
      <c r="D103" s="42">
        <f>SUM($C$2:C103)</f>
        <v>3029894059.1291461</v>
      </c>
    </row>
    <row r="104" spans="1:4">
      <c r="A104" s="8">
        <v>102</v>
      </c>
      <c r="B104" s="42">
        <f t="shared" si="8"/>
        <v>56140000</v>
      </c>
      <c r="C104" s="42">
        <f t="shared" si="7"/>
        <v>43517658.170434229</v>
      </c>
      <c r="D104" s="42">
        <f>SUM($C$2:C104)</f>
        <v>3073411717.2995801</v>
      </c>
    </row>
    <row r="105" spans="1:4">
      <c r="A105" s="8">
        <v>103</v>
      </c>
      <c r="B105" s="42">
        <f t="shared" si="8"/>
        <v>62500000</v>
      </c>
      <c r="C105" s="42">
        <f t="shared" si="7"/>
        <v>48326878.486934409</v>
      </c>
      <c r="D105" s="42">
        <f>SUM($C$2:C105)</f>
        <v>3121738595.7865143</v>
      </c>
    </row>
    <row r="106" spans="1:4">
      <c r="A106" s="8">
        <v>104</v>
      </c>
      <c r="B106" s="42">
        <f t="shared" si="8"/>
        <v>62500000</v>
      </c>
      <c r="C106" s="42">
        <f t="shared" si="7"/>
        <v>48206362.580483198</v>
      </c>
      <c r="D106" s="42">
        <f>SUM($C$2:C106)</f>
        <v>3169944958.3669977</v>
      </c>
    </row>
    <row r="107" spans="1:4">
      <c r="A107" s="8">
        <v>105</v>
      </c>
      <c r="B107" s="42">
        <f t="shared" si="8"/>
        <v>56140000</v>
      </c>
      <c r="C107" s="42">
        <f t="shared" si="7"/>
        <v>43192900.872112952</v>
      </c>
      <c r="D107" s="42">
        <f>SUM($C$2:C107)</f>
        <v>3213137859.2391105</v>
      </c>
    </row>
    <row r="108" spans="1:4">
      <c r="A108" s="8">
        <v>106</v>
      </c>
      <c r="B108" s="42">
        <f t="shared" si="8"/>
        <v>62500000</v>
      </c>
      <c r="C108" s="42">
        <f t="shared" si="7"/>
        <v>47966231.633368656</v>
      </c>
      <c r="D108" s="42">
        <f>SUM($C$2:C108)</f>
        <v>3261104090.872479</v>
      </c>
    </row>
    <row r="109" spans="1:4">
      <c r="A109" s="8">
        <v>107</v>
      </c>
      <c r="B109" s="42">
        <f t="shared" si="8"/>
        <v>62500000</v>
      </c>
      <c r="C109" s="42">
        <f t="shared" si="7"/>
        <v>47846615.095629588</v>
      </c>
      <c r="D109" s="42">
        <f>SUM($C$2:C109)</f>
        <v>3308950705.9681087</v>
      </c>
    </row>
    <row r="110" spans="1:4">
      <c r="A110" s="8">
        <v>108</v>
      </c>
      <c r="B110" s="42">
        <f t="shared" si="8"/>
        <v>-33860000</v>
      </c>
      <c r="C110" s="42">
        <f t="shared" si="7"/>
        <v>-25856740.343349911</v>
      </c>
      <c r="D110" s="42">
        <f>SUM($C$2:C110)</f>
        <v>3283093965.6247587</v>
      </c>
    </row>
    <row r="111" spans="1:4">
      <c r="A111" s="8">
        <v>109</v>
      </c>
      <c r="B111" s="42">
        <f t="shared" si="8"/>
        <v>62500000</v>
      </c>
      <c r="C111" s="42">
        <f t="shared" si="7"/>
        <v>47608276.163088121</v>
      </c>
      <c r="D111" s="42">
        <f>SUM($C$2:C111)</f>
        <v>3330702241.787847</v>
      </c>
    </row>
    <row r="112" spans="1:4">
      <c r="A112" s="8">
        <v>110</v>
      </c>
      <c r="B112" s="42">
        <f t="shared" si="8"/>
        <v>62500000</v>
      </c>
      <c r="C112" s="42">
        <f t="shared" si="7"/>
        <v>47489552.282382183</v>
      </c>
      <c r="D112" s="42">
        <f>SUM($C$2:C112)</f>
        <v>3378191794.0702291</v>
      </c>
    </row>
    <row r="113" spans="1:4">
      <c r="A113" s="8">
        <v>111</v>
      </c>
      <c r="B113" s="42">
        <f t="shared" si="8"/>
        <v>56140000</v>
      </c>
      <c r="C113" s="42">
        <f t="shared" si="7"/>
        <v>42550638.845014438</v>
      </c>
      <c r="D113" s="42">
        <f>SUM($C$2:C113)</f>
        <v>3420742432.9152436</v>
      </c>
    </row>
    <row r="114" spans="1:4">
      <c r="A114" s="8">
        <v>112</v>
      </c>
      <c r="B114" s="42">
        <f t="shared" si="8"/>
        <v>62500000</v>
      </c>
      <c r="C114" s="42">
        <f t="shared" si="7"/>
        <v>47252991.991226092</v>
      </c>
      <c r="D114" s="42">
        <f>SUM($C$2:C114)</f>
        <v>3467995424.9064698</v>
      </c>
    </row>
    <row r="115" spans="1:4">
      <c r="A115" s="8">
        <v>113</v>
      </c>
      <c r="B115" s="42">
        <f t="shared" si="8"/>
        <v>62500000</v>
      </c>
      <c r="C115" s="42">
        <f t="shared" si="7"/>
        <v>47135154.105961204</v>
      </c>
      <c r="D115" s="42">
        <f>SUM($C$2:C115)</f>
        <v>3515130579.0124311</v>
      </c>
    </row>
    <row r="116" spans="1:4">
      <c r="A116" s="8">
        <v>114</v>
      </c>
      <c r="B116" s="42">
        <f t="shared" si="8"/>
        <v>56140000</v>
      </c>
      <c r="C116" s="42">
        <f t="shared" si="7"/>
        <v>42233098.078941233</v>
      </c>
      <c r="D116" s="42">
        <f>SUM($C$2:C116)</f>
        <v>3557363677.0913725</v>
      </c>
    </row>
    <row r="117" spans="1:4">
      <c r="A117" s="8">
        <v>115</v>
      </c>
      <c r="B117" s="42">
        <f t="shared" si="8"/>
        <v>62500000</v>
      </c>
      <c r="C117" s="42">
        <f t="shared" si="7"/>
        <v>46900359.182802305</v>
      </c>
      <c r="D117" s="42">
        <f>SUM($C$2:C117)</f>
        <v>3604264036.2741747</v>
      </c>
    </row>
    <row r="118" spans="1:4">
      <c r="A118" s="8">
        <v>116</v>
      </c>
      <c r="B118" s="42">
        <f t="shared" si="8"/>
        <v>62500000</v>
      </c>
      <c r="C118" s="42">
        <f t="shared" si="7"/>
        <v>46783400.681099556</v>
      </c>
      <c r="D118" s="42">
        <f>SUM($C$2:C118)</f>
        <v>3651047436.9552741</v>
      </c>
    </row>
    <row r="119" spans="1:4">
      <c r="A119" s="8">
        <v>117</v>
      </c>
      <c r="B119" s="42">
        <f t="shared" si="8"/>
        <v>56140000</v>
      </c>
      <c r="C119" s="42">
        <f t="shared" si="7"/>
        <v>41917927.010265201</v>
      </c>
      <c r="D119" s="42">
        <f>SUM($C$2:C119)</f>
        <v>3692965363.9655395</v>
      </c>
    </row>
    <row r="120" spans="1:4">
      <c r="A120" s="8">
        <v>118</v>
      </c>
      <c r="B120" s="42">
        <f t="shared" si="8"/>
        <v>62500000</v>
      </c>
      <c r="C120" s="42">
        <f t="shared" si="7"/>
        <v>46550357.951604351</v>
      </c>
      <c r="D120" s="42">
        <f>SUM($C$2:C120)</f>
        <v>3739515721.9171438</v>
      </c>
    </row>
    <row r="121" spans="1:4">
      <c r="A121" s="8">
        <v>119</v>
      </c>
      <c r="B121" s="42">
        <f t="shared" si="8"/>
        <v>62500000</v>
      </c>
      <c r="C121" s="42">
        <f t="shared" si="7"/>
        <v>46434272.270927034</v>
      </c>
      <c r="D121" s="42">
        <f>SUM($C$2:C121)</f>
        <v>3785949994.1880708</v>
      </c>
    </row>
    <row r="122" spans="1:4">
      <c r="A122" s="8">
        <v>120</v>
      </c>
      <c r="B122" s="42">
        <f t="shared" si="8"/>
        <v>-33860000</v>
      </c>
      <c r="C122" s="42">
        <f t="shared" si="7"/>
        <v>-25093497.601493698</v>
      </c>
      <c r="D122" s="42">
        <f>SUM($C$2:C122)</f>
        <v>3760856496.5865769</v>
      </c>
    </row>
    <row r="123" spans="1:4">
      <c r="A123" s="8">
        <v>121</v>
      </c>
      <c r="B123" s="42">
        <f t="shared" si="8"/>
        <v>62500000</v>
      </c>
      <c r="C123" s="42">
        <f t="shared" si="7"/>
        <v>46202968.659077525</v>
      </c>
      <c r="D123" s="42">
        <f>SUM($C$2:C123)</f>
        <v>3807059465.2456546</v>
      </c>
    </row>
    <row r="124" spans="1:4">
      <c r="A124" s="8">
        <v>122</v>
      </c>
      <c r="B124" s="42">
        <f t="shared" si="8"/>
        <v>62500000</v>
      </c>
      <c r="C124" s="42">
        <f t="shared" si="7"/>
        <v>46087749.285862871</v>
      </c>
      <c r="D124" s="42">
        <f>SUM($C$2:C124)</f>
        <v>3853147214.5315175</v>
      </c>
    </row>
    <row r="125" spans="1:4">
      <c r="A125" s="8">
        <v>123</v>
      </c>
      <c r="B125" s="42">
        <f t="shared" si="8"/>
        <v>56140000</v>
      </c>
      <c r="C125" s="42">
        <f t="shared" si="7"/>
        <v>41294623.360133126</v>
      </c>
      <c r="D125" s="42">
        <f>SUM($C$2:C125)</f>
        <v>3894441837.8916507</v>
      </c>
    </row>
    <row r="126" spans="1:4">
      <c r="A126" s="8">
        <v>124</v>
      </c>
      <c r="B126" s="42">
        <f t="shared" si="8"/>
        <v>62500000</v>
      </c>
      <c r="C126" s="42">
        <f t="shared" si="7"/>
        <v>45858171.813222922</v>
      </c>
      <c r="D126" s="42">
        <f>SUM($C$2:C126)</f>
        <v>3940300009.7048736</v>
      </c>
    </row>
    <row r="127" spans="1:4">
      <c r="A127" s="8">
        <v>125</v>
      </c>
      <c r="B127" s="42">
        <f t="shared" si="8"/>
        <v>62500000</v>
      </c>
      <c r="C127" s="42">
        <f t="shared" si="7"/>
        <v>45743812.282516629</v>
      </c>
      <c r="D127" s="42">
        <f>SUM($C$2:C127)</f>
        <v>3986043821.98739</v>
      </c>
    </row>
    <row r="128" spans="1:4">
      <c r="A128" s="8">
        <v>126</v>
      </c>
      <c r="B128" s="42">
        <f t="shared" si="8"/>
        <v>56140000</v>
      </c>
      <c r="C128" s="42">
        <f t="shared" si="7"/>
        <v>40986455.805134907</v>
      </c>
      <c r="D128" s="42">
        <f>SUM($C$2:C128)</f>
        <v>4027030277.7925248</v>
      </c>
    </row>
    <row r="129" spans="1:4">
      <c r="A129" s="8">
        <v>127</v>
      </c>
      <c r="B129" s="42">
        <f t="shared" si="8"/>
        <v>62500000</v>
      </c>
      <c r="C129" s="42">
        <f t="shared" si="7"/>
        <v>45515948.067503713</v>
      </c>
      <c r="D129" s="42">
        <f>SUM($C$2:C129)</f>
        <v>4072546225.8600287</v>
      </c>
    </row>
    <row r="130" spans="1:4">
      <c r="A130" s="8">
        <v>128</v>
      </c>
      <c r="B130" s="42">
        <f t="shared" si="8"/>
        <v>62500000</v>
      </c>
      <c r="C130" s="42">
        <f t="shared" ref="C130:C168" si="9">-PV($K$1,A130,,B130)</f>
        <v>45402441.962597206</v>
      </c>
      <c r="D130" s="42">
        <f>SUM($C$2:C130)</f>
        <v>4117948667.8226261</v>
      </c>
    </row>
    <row r="131" spans="1:4">
      <c r="A131" s="8">
        <v>129</v>
      </c>
      <c r="B131" s="42">
        <f t="shared" ref="B131:B162" si="10">IF(A131=0,$N$42,0)+IF(A131=0,0,$O$42)+IF(MOD(A131,2)=0,$P$42,0)+IF(MOD(A131,3)=0,$Q$42,0)+IF(MOD(A131,6)=0,$R$42,0)+IF(MOD(A131,12)=0,$S$42,0)</f>
        <v>56140000</v>
      </c>
      <c r="C131" s="42">
        <f t="shared" si="9"/>
        <v>40680587.9984871</v>
      </c>
      <c r="D131" s="42">
        <f>SUM($C$2:C131)</f>
        <v>4158629255.8211131</v>
      </c>
    </row>
    <row r="132" spans="1:4">
      <c r="A132" s="8">
        <v>130</v>
      </c>
      <c r="B132" s="42">
        <f t="shared" si="10"/>
        <v>62500000</v>
      </c>
      <c r="C132" s="42">
        <f t="shared" si="9"/>
        <v>45176278.219759539</v>
      </c>
      <c r="D132" s="42">
        <f>SUM($C$2:C132)</f>
        <v>4203805534.0408726</v>
      </c>
    </row>
    <row r="133" spans="1:4">
      <c r="A133" s="8">
        <v>131</v>
      </c>
      <c r="B133" s="42">
        <f t="shared" si="10"/>
        <v>62500000</v>
      </c>
      <c r="C133" s="42">
        <f t="shared" si="9"/>
        <v>45063619.171829969</v>
      </c>
      <c r="D133" s="42">
        <f>SUM($C$2:C133)</f>
        <v>4248869153.2127028</v>
      </c>
    </row>
    <row r="134" spans="1:4">
      <c r="A134" s="8">
        <v>132</v>
      </c>
      <c r="B134" s="42">
        <f t="shared" si="10"/>
        <v>-33860000</v>
      </c>
      <c r="C134" s="42">
        <f t="shared" si="9"/>
        <v>-24352784.361626539</v>
      </c>
      <c r="D134" s="42">
        <f>SUM($C$2:C134)</f>
        <v>4224516368.8510761</v>
      </c>
    </row>
    <row r="135" spans="1:4">
      <c r="A135" s="8">
        <v>133</v>
      </c>
      <c r="B135" s="42">
        <f t="shared" si="10"/>
        <v>62500000</v>
      </c>
      <c r="C135" s="42">
        <f t="shared" si="9"/>
        <v>44839143.211129256</v>
      </c>
      <c r="D135" s="42">
        <f>SUM($C$2:C135)</f>
        <v>4269355512.0622053</v>
      </c>
    </row>
    <row r="136" spans="1:4">
      <c r="A136" s="8">
        <v>134</v>
      </c>
      <c r="B136" s="42">
        <f t="shared" si="10"/>
        <v>62500000</v>
      </c>
      <c r="C136" s="42">
        <f t="shared" si="9"/>
        <v>44727324.898882061</v>
      </c>
      <c r="D136" s="42">
        <f>SUM($C$2:C136)</f>
        <v>4314082836.9610872</v>
      </c>
    </row>
    <row r="137" spans="1:4">
      <c r="A137" s="8">
        <v>135</v>
      </c>
      <c r="B137" s="42">
        <f t="shared" si="10"/>
        <v>56140000</v>
      </c>
      <c r="C137" s="42">
        <f t="shared" si="9"/>
        <v>40075683.109398328</v>
      </c>
      <c r="D137" s="42">
        <f>SUM($C$2:C137)</f>
        <v>4354158520.0704851</v>
      </c>
    </row>
    <row r="138" spans="1:4">
      <c r="A138" s="8">
        <v>136</v>
      </c>
      <c r="B138" s="42">
        <f t="shared" si="10"/>
        <v>62500000</v>
      </c>
      <c r="C138" s="42">
        <f t="shared" si="9"/>
        <v>44504524.124981366</v>
      </c>
      <c r="D138" s="42">
        <f>SUM($C$2:C138)</f>
        <v>4398663044.195466</v>
      </c>
    </row>
    <row r="139" spans="1:4">
      <c r="A139" s="8">
        <v>137</v>
      </c>
      <c r="B139" s="42">
        <f t="shared" si="10"/>
        <v>62500000</v>
      </c>
      <c r="C139" s="42">
        <f t="shared" si="9"/>
        <v>44393540.274295628</v>
      </c>
      <c r="D139" s="42">
        <f>SUM($C$2:C139)</f>
        <v>4443056584.4697618</v>
      </c>
    </row>
    <row r="140" spans="1:4">
      <c r="A140" s="8">
        <v>138</v>
      </c>
      <c r="B140" s="42">
        <f t="shared" si="10"/>
        <v>56140000</v>
      </c>
      <c r="C140" s="42">
        <f t="shared" si="9"/>
        <v>39776612.085768886</v>
      </c>
      <c r="D140" s="42">
        <f>SUM($C$2:C140)</f>
        <v>4482833196.5555305</v>
      </c>
    </row>
    <row r="141" spans="1:4">
      <c r="A141" s="8">
        <v>139</v>
      </c>
      <c r="B141" s="42">
        <f t="shared" si="10"/>
        <v>62500000</v>
      </c>
      <c r="C141" s="42">
        <f t="shared" si="9"/>
        <v>44172402.185852721</v>
      </c>
      <c r="D141" s="42">
        <f>SUM($C$2:C141)</f>
        <v>4527005598.7413836</v>
      </c>
    </row>
    <row r="142" spans="1:4">
      <c r="A142" s="8">
        <v>140</v>
      </c>
      <c r="B142" s="42">
        <f t="shared" si="10"/>
        <v>62500000</v>
      </c>
      <c r="C142" s="42">
        <f t="shared" si="9"/>
        <v>44062246.569429137</v>
      </c>
      <c r="D142" s="42">
        <f>SUM($C$2:C142)</f>
        <v>4571067845.310813</v>
      </c>
    </row>
    <row r="143" spans="1:4">
      <c r="A143" s="8">
        <v>141</v>
      </c>
      <c r="B143" s="42">
        <f t="shared" si="10"/>
        <v>56140000</v>
      </c>
      <c r="C143" s="42">
        <f t="shared" si="9"/>
        <v>39479772.926208511</v>
      </c>
      <c r="D143" s="42">
        <f>SUM($C$2:C143)</f>
        <v>4610547618.2370214</v>
      </c>
    </row>
    <row r="144" spans="1:4">
      <c r="A144" s="8">
        <v>142</v>
      </c>
      <c r="B144" s="42">
        <f t="shared" si="10"/>
        <v>62500000</v>
      </c>
      <c r="C144" s="42">
        <f t="shared" si="9"/>
        <v>43842758.758394934</v>
      </c>
      <c r="D144" s="42">
        <f>SUM($C$2:C144)</f>
        <v>4654390376.9954166</v>
      </c>
    </row>
    <row r="145" spans="1:4">
      <c r="A145" s="8">
        <v>143</v>
      </c>
      <c r="B145" s="42">
        <f t="shared" si="10"/>
        <v>62500000</v>
      </c>
      <c r="C145" s="42">
        <f t="shared" si="9"/>
        <v>43733425.195406422</v>
      </c>
      <c r="D145" s="42">
        <f>SUM($C$2:C145)</f>
        <v>4698123802.1908226</v>
      </c>
    </row>
    <row r="146" spans="1:4">
      <c r="A146" s="8">
        <v>144</v>
      </c>
      <c r="B146" s="42">
        <f t="shared" si="10"/>
        <v>-33860000</v>
      </c>
      <c r="C146" s="42">
        <f t="shared" si="9"/>
        <v>-23633935.594876193</v>
      </c>
      <c r="D146" s="42">
        <f>SUM($C$2:C146)</f>
        <v>4674489866.5959463</v>
      </c>
    </row>
    <row r="147" spans="1:4">
      <c r="A147" s="8">
        <v>145</v>
      </c>
      <c r="B147" s="42">
        <f t="shared" si="10"/>
        <v>62500000</v>
      </c>
      <c r="C147" s="42">
        <f t="shared" si="9"/>
        <v>43515575.346328862</v>
      </c>
      <c r="D147" s="42">
        <f>SUM($C$2:C147)</f>
        <v>4718005441.942275</v>
      </c>
    </row>
    <row r="148" spans="1:4">
      <c r="A148" s="8">
        <v>146</v>
      </c>
      <c r="B148" s="42">
        <f t="shared" si="10"/>
        <v>62500000</v>
      </c>
      <c r="C148" s="42">
        <f t="shared" si="9"/>
        <v>43407057.702073671</v>
      </c>
      <c r="D148" s="42">
        <f>SUM($C$2:C148)</f>
        <v>4761412499.6443491</v>
      </c>
    </row>
    <row r="149" spans="1:4">
      <c r="A149" s="8">
        <v>147</v>
      </c>
      <c r="B149" s="42">
        <f t="shared" si="10"/>
        <v>56140000</v>
      </c>
      <c r="C149" s="42">
        <f t="shared" si="9"/>
        <v>38892723.701058023</v>
      </c>
      <c r="D149" s="42">
        <f>SUM($C$2:C149)</f>
        <v>4800305223.3454075</v>
      </c>
    </row>
    <row r="150" spans="1:4">
      <c r="A150" s="8">
        <v>148</v>
      </c>
      <c r="B150" s="42">
        <f t="shared" si="10"/>
        <v>62500000</v>
      </c>
      <c r="C150" s="42">
        <f t="shared" si="9"/>
        <v>43190833.591406696</v>
      </c>
      <c r="D150" s="42">
        <f>SUM($C$2:C150)</f>
        <v>4843496056.9368143</v>
      </c>
    </row>
    <row r="151" spans="1:4">
      <c r="A151" s="8">
        <v>149</v>
      </c>
      <c r="B151" s="42">
        <f t="shared" si="10"/>
        <v>62500000</v>
      </c>
      <c r="C151" s="42">
        <f t="shared" si="9"/>
        <v>43083125.776964299</v>
      </c>
      <c r="D151" s="42">
        <f>SUM($C$2:C151)</f>
        <v>4886579182.7137785</v>
      </c>
    </row>
    <row r="152" spans="1:4">
      <c r="A152" s="8">
        <v>150</v>
      </c>
      <c r="B152" s="42">
        <f t="shared" si="10"/>
        <v>56140000</v>
      </c>
      <c r="C152" s="42">
        <f t="shared" si="9"/>
        <v>38602480.696160018</v>
      </c>
      <c r="D152" s="42">
        <f>SUM($C$2:C152)</f>
        <v>4925181663.4099388</v>
      </c>
    </row>
    <row r="153" spans="1:4">
      <c r="A153" s="8">
        <v>151</v>
      </c>
      <c r="B153" s="42">
        <f t="shared" si="10"/>
        <v>62500000</v>
      </c>
      <c r="C153" s="42">
        <f t="shared" si="9"/>
        <v>42868515.272381939</v>
      </c>
      <c r="D153" s="42">
        <f>SUM($C$2:C153)</f>
        <v>4968050178.6823206</v>
      </c>
    </row>
    <row r="154" spans="1:4">
      <c r="A154" s="8">
        <v>152</v>
      </c>
      <c r="B154" s="42">
        <f t="shared" si="10"/>
        <v>62500000</v>
      </c>
      <c r="C154" s="42">
        <f t="shared" si="9"/>
        <v>42761611.244271263</v>
      </c>
      <c r="D154" s="42">
        <f>SUM($C$2:C154)</f>
        <v>5010811789.9265919</v>
      </c>
    </row>
    <row r="155" spans="1:4">
      <c r="A155" s="8">
        <v>153</v>
      </c>
      <c r="B155" s="42">
        <f t="shared" si="10"/>
        <v>56140000</v>
      </c>
      <c r="C155" s="42">
        <f t="shared" si="9"/>
        <v>38314403.674867049</v>
      </c>
      <c r="D155" s="42">
        <f>SUM($C$2:C155)</f>
        <v>5049126193.6014585</v>
      </c>
    </row>
    <row r="156" spans="1:4">
      <c r="A156" s="8">
        <v>154</v>
      </c>
      <c r="B156" s="42">
        <f t="shared" si="10"/>
        <v>62500000</v>
      </c>
      <c r="C156" s="42">
        <f t="shared" si="9"/>
        <v>42548602.303986929</v>
      </c>
      <c r="D156" s="42">
        <f>SUM($C$2:C156)</f>
        <v>5091674795.9054451</v>
      </c>
    </row>
    <row r="157" spans="1:4">
      <c r="A157" s="8">
        <v>155</v>
      </c>
      <c r="B157" s="42">
        <f t="shared" si="10"/>
        <v>62500000</v>
      </c>
      <c r="C157" s="42">
        <f t="shared" si="9"/>
        <v>42442496.063827366</v>
      </c>
      <c r="D157" s="42">
        <f>SUM($C$2:C157)</f>
        <v>5134117291.9692726</v>
      </c>
    </row>
    <row r="158" spans="1:4">
      <c r="A158" s="8">
        <v>156</v>
      </c>
      <c r="B158" s="42">
        <f t="shared" si="10"/>
        <v>-33860000</v>
      </c>
      <c r="C158" s="42">
        <f t="shared" si="9"/>
        <v>-22936305.902782161</v>
      </c>
      <c r="D158" s="42">
        <f>SUM($C$2:C158)</f>
        <v>5111180986.0664902</v>
      </c>
    </row>
    <row r="159" spans="1:4">
      <c r="A159" s="8">
        <v>157</v>
      </c>
      <c r="B159" s="42">
        <f t="shared" si="10"/>
        <v>62500000</v>
      </c>
      <c r="C159" s="42">
        <f t="shared" si="9"/>
        <v>42231076.735918172</v>
      </c>
      <c r="D159" s="42">
        <f>SUM($C$2:C159)</f>
        <v>5153412062.8024082</v>
      </c>
    </row>
    <row r="160" spans="1:4">
      <c r="A160" s="8">
        <v>158</v>
      </c>
      <c r="B160" s="42">
        <f t="shared" si="10"/>
        <v>62500000</v>
      </c>
      <c r="C160" s="42">
        <f t="shared" si="9"/>
        <v>42125762.330092952</v>
      </c>
      <c r="D160" s="42">
        <f>SUM($C$2:C160)</f>
        <v>5195537825.1325016</v>
      </c>
    </row>
    <row r="161" spans="1:4">
      <c r="A161" s="8">
        <v>159</v>
      </c>
      <c r="B161" s="42">
        <f t="shared" si="10"/>
        <v>56140000</v>
      </c>
      <c r="C161" s="42">
        <f t="shared" si="9"/>
        <v>37744683.047763288</v>
      </c>
      <c r="D161" s="42">
        <f>SUM($C$2:C161)</f>
        <v>5233282508.1802645</v>
      </c>
    </row>
    <row r="162" spans="1:4">
      <c r="A162" s="8">
        <v>160</v>
      </c>
      <c r="B162" s="42">
        <f t="shared" si="10"/>
        <v>62500000</v>
      </c>
      <c r="C162" s="42">
        <f t="shared" si="9"/>
        <v>41915920.751829103</v>
      </c>
      <c r="D162" s="42">
        <f>SUM($C$2:C162)</f>
        <v>5275198428.9320936</v>
      </c>
    </row>
    <row r="163" spans="1:4">
      <c r="A163" s="8">
        <v>161</v>
      </c>
      <c r="B163" s="42">
        <f t="shared" ref="B163:B182" si="11">IF(A163=0,$N$42,0)+IF(A163=0,0,$O$42)+IF(MOD(A163,2)=0,$P$42,0)+IF(MOD(A163,3)=0,$Q$42,0)+IF(MOD(A163,6)=0,$R$42,0)+IF(MOD(A163,12)=0,$S$42,0)</f>
        <v>62500000</v>
      </c>
      <c r="C163" s="42">
        <f t="shared" si="9"/>
        <v>41811392.271151222</v>
      </c>
      <c r="D163" s="42">
        <f>SUM($C$2:C163)</f>
        <v>5317009821.2032452</v>
      </c>
    </row>
    <row r="164" spans="1:4">
      <c r="A164" s="8">
        <v>162</v>
      </c>
      <c r="B164" s="42">
        <f t="shared" si="11"/>
        <v>56140000</v>
      </c>
      <c r="C164" s="42">
        <f t="shared" si="9"/>
        <v>37463007.474951506</v>
      </c>
      <c r="D164" s="42">
        <f>SUM($C$2:C164)</f>
        <v>5354472828.6781969</v>
      </c>
    </row>
    <row r="165" spans="1:4">
      <c r="A165" s="8">
        <v>163</v>
      </c>
      <c r="B165" s="42">
        <f t="shared" si="11"/>
        <v>62500000</v>
      </c>
      <c r="C165" s="42">
        <f t="shared" si="9"/>
        <v>41603116.668330409</v>
      </c>
      <c r="D165" s="42">
        <f>SUM($C$2:C165)</f>
        <v>5396075945.3465271</v>
      </c>
    </row>
    <row r="166" spans="1:4">
      <c r="A166" s="8">
        <v>164</v>
      </c>
      <c r="B166" s="42">
        <f t="shared" si="11"/>
        <v>62500000</v>
      </c>
      <c r="C166" s="42">
        <f t="shared" si="9"/>
        <v>41499368.247711122</v>
      </c>
      <c r="D166" s="42">
        <f>SUM($C$2:C166)</f>
        <v>5437575313.5942383</v>
      </c>
    </row>
    <row r="167" spans="1:4">
      <c r="A167" s="8">
        <v>165</v>
      </c>
      <c r="B167" s="42">
        <f t="shared" si="11"/>
        <v>56140000</v>
      </c>
      <c r="C167" s="42">
        <f t="shared" si="9"/>
        <v>37183433.949949168</v>
      </c>
      <c r="D167" s="42">
        <f>SUM($C$2:C167)</f>
        <v>5474758747.5441875</v>
      </c>
    </row>
    <row r="168" spans="1:4">
      <c r="A168" s="8">
        <v>166</v>
      </c>
      <c r="B168" s="42">
        <f t="shared" si="11"/>
        <v>62500000</v>
      </c>
      <c r="C168" s="42">
        <f t="shared" si="9"/>
        <v>41292646.93399781</v>
      </c>
      <c r="D168" s="42">
        <f>SUM($C$2:C168)</f>
        <v>5516051394.4781857</v>
      </c>
    </row>
    <row r="169" spans="1:4">
      <c r="A169" s="8">
        <v>167</v>
      </c>
      <c r="B169" s="42">
        <f t="shared" si="11"/>
        <v>62500000</v>
      </c>
      <c r="C169" s="42">
        <f t="shared" ref="C169:C177" si="12">-PV($K$1,A169,,B169)</f>
        <v>41189672.752117515</v>
      </c>
      <c r="D169" s="42">
        <f>SUM($C$2:C169)</f>
        <v>5557241067.2303028</v>
      </c>
    </row>
    <row r="170" spans="1:4">
      <c r="A170" s="8">
        <v>168</v>
      </c>
      <c r="B170" s="42">
        <f t="shared" si="11"/>
        <v>-33860000</v>
      </c>
      <c r="C170" s="42">
        <f t="shared" si="12"/>
        <v>-22259268.937842578</v>
      </c>
      <c r="D170" s="42">
        <f>SUM($C$2:C170)</f>
        <v>5534981798.2924604</v>
      </c>
    </row>
    <row r="171" spans="1:4">
      <c r="A171" s="8">
        <v>169</v>
      </c>
      <c r="B171" s="42">
        <f t="shared" si="11"/>
        <v>62500000</v>
      </c>
      <c r="C171" s="42">
        <f t="shared" si="12"/>
        <v>40984494.12838728</v>
      </c>
      <c r="D171" s="42">
        <f>SUM($C$2:C171)</f>
        <v>5575966292.4208479</v>
      </c>
    </row>
    <row r="172" spans="1:4">
      <c r="A172" s="8">
        <v>170</v>
      </c>
      <c r="B172" s="42">
        <f t="shared" si="11"/>
        <v>62500000</v>
      </c>
      <c r="C172" s="42">
        <f t="shared" si="12"/>
        <v>40882288.407368861</v>
      </c>
      <c r="D172" s="42">
        <f>SUM($C$2:C172)</f>
        <v>5616848580.8282166</v>
      </c>
    </row>
    <row r="173" spans="1:4">
      <c r="A173" s="8">
        <v>171</v>
      </c>
      <c r="B173" s="42">
        <f t="shared" si="11"/>
        <v>56140000</v>
      </c>
      <c r="C173" s="42">
        <f t="shared" si="12"/>
        <v>36630530.413002506</v>
      </c>
      <c r="D173" s="42">
        <f>SUM($C$2:C173)</f>
        <v>5653479111.2412195</v>
      </c>
    </row>
    <row r="174" spans="1:4">
      <c r="A174" s="8">
        <v>172</v>
      </c>
      <c r="B174" s="42">
        <f t="shared" si="11"/>
        <v>62500000</v>
      </c>
      <c r="C174" s="42">
        <f t="shared" si="12"/>
        <v>40678640.961057566</v>
      </c>
      <c r="D174" s="42">
        <f>SUM($C$2:C174)</f>
        <v>5694157752.2022772</v>
      </c>
    </row>
    <row r="175" spans="1:4">
      <c r="A175" s="8">
        <v>173</v>
      </c>
      <c r="B175" s="42">
        <f t="shared" si="11"/>
        <v>62500000</v>
      </c>
      <c r="C175" s="42">
        <f t="shared" si="12"/>
        <v>40577197.966142207</v>
      </c>
      <c r="D175" s="42">
        <f>SUM($C$2:C175)</f>
        <v>5734734950.1684198</v>
      </c>
    </row>
    <row r="176" spans="1:4">
      <c r="A176" s="8">
        <v>174</v>
      </c>
      <c r="B176" s="42">
        <f t="shared" si="11"/>
        <v>56140000</v>
      </c>
      <c r="C176" s="42">
        <f t="shared" si="12"/>
        <v>36357169.377663426</v>
      </c>
      <c r="D176" s="42">
        <f>SUM($C$2:C176)</f>
        <v>5771092119.5460835</v>
      </c>
    </row>
    <row r="177" spans="1:4">
      <c r="A177" s="8">
        <v>175</v>
      </c>
      <c r="B177" s="42">
        <f t="shared" si="11"/>
        <v>62500000</v>
      </c>
      <c r="C177" s="42">
        <f t="shared" si="12"/>
        <v>40375070.270600028</v>
      </c>
      <c r="D177" s="42">
        <f>SUM($C$2:C177)</f>
        <v>5811467189.8166838</v>
      </c>
    </row>
    <row r="178" spans="1:4">
      <c r="A178" s="8">
        <v>176</v>
      </c>
      <c r="B178" s="42">
        <f t="shared" si="11"/>
        <v>62500000</v>
      </c>
      <c r="C178" s="42">
        <f t="shared" ref="C178:C182" si="13">-PV($K$1,A178,,B178)</f>
        <v>40274384.309825458</v>
      </c>
      <c r="D178" s="42">
        <f>SUM($C$2:C178)</f>
        <v>5851741574.1265097</v>
      </c>
    </row>
    <row r="179" spans="1:4">
      <c r="A179" s="8">
        <v>177</v>
      </c>
      <c r="B179" s="42">
        <f t="shared" si="11"/>
        <v>56140000</v>
      </c>
      <c r="C179" s="42">
        <f t="shared" si="13"/>
        <v>36085848.341603622</v>
      </c>
      <c r="D179" s="42">
        <f>SUM($C$2:C179)</f>
        <v>5887827422.4681129</v>
      </c>
    </row>
    <row r="180" spans="1:4">
      <c r="A180" s="8">
        <v>178</v>
      </c>
      <c r="B180" s="42">
        <f t="shared" si="11"/>
        <v>62500000</v>
      </c>
      <c r="C180" s="42">
        <f t="shared" si="13"/>
        <v>40073765.023675688</v>
      </c>
      <c r="D180" s="42">
        <f>SUM($C$2:C180)</f>
        <v>5927901187.4917889</v>
      </c>
    </row>
    <row r="181" spans="1:4">
      <c r="A181" s="8">
        <v>179</v>
      </c>
      <c r="B181" s="42">
        <f t="shared" si="11"/>
        <v>62500000</v>
      </c>
      <c r="C181" s="42">
        <f t="shared" si="13"/>
        <v>39973830.447556801</v>
      </c>
      <c r="D181" s="42">
        <f>SUM($C$2:C181)</f>
        <v>5967875017.9393454</v>
      </c>
    </row>
    <row r="182" spans="1:4">
      <c r="A182" s="8">
        <v>180</v>
      </c>
      <c r="B182" s="42">
        <f t="shared" si="11"/>
        <v>-33860000</v>
      </c>
      <c r="C182" s="42">
        <f t="shared" si="13"/>
        <v>-21602216.841165457</v>
      </c>
      <c r="D182" s="42">
        <f>SUM($C$2:C182)</f>
        <v>5946272801.0981798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baseColWidth="10" defaultColWidth="9.140625" defaultRowHeight="12.75"/>
  <cols>
    <col min="1" max="1" width="89.5703125" customWidth="1"/>
    <col min="2" max="1025" width="11.5703125"/>
  </cols>
  <sheetData>
    <row r="1" spans="1:1">
      <c r="A1" s="50" t="s">
        <v>7</v>
      </c>
    </row>
    <row r="2" spans="1:1">
      <c r="A2" s="50" t="s">
        <v>36</v>
      </c>
    </row>
  </sheetData>
  <hyperlinks>
    <hyperlink ref="A1" r:id="rId1" xr:uid="{74E29BC8-6BDC-466A-927E-1935730DDAD7}"/>
    <hyperlink ref="A2" r:id="rId2" xr:uid="{8B53C580-F9EF-459C-A62B-D7763FE87038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EED-AC7F-4AAF-849B-AD5DE529EC0E}">
  <dimension ref="A1"/>
  <sheetViews>
    <sheetView workbookViewId="0"/>
  </sheetViews>
  <sheetFormatPr baseColWidth="10" defaultColWidth="11.4257812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Costos</vt:lpstr>
      <vt:lpstr>Balance</vt:lpstr>
      <vt:lpstr>Referencias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leonardo gonzalez huertas</dc:creator>
  <dc:description/>
  <cp:lastModifiedBy>Luz Alejandra Vera</cp:lastModifiedBy>
  <cp:revision>12</cp:revision>
  <dcterms:created xsi:type="dcterms:W3CDTF">2021-05-25T09:21:53Z</dcterms:created>
  <dcterms:modified xsi:type="dcterms:W3CDTF">2022-05-11T20:26:25Z</dcterms:modified>
  <dc:language>es-CO</dc:language>
</cp:coreProperties>
</file>