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HOHAN\Desktop\Proyecto\Módulo de gestión económica\"/>
    </mc:Choice>
  </mc:AlternateContent>
  <xr:revisionPtr revIDLastSave="0" documentId="13_ncr:1_{74F2E899-8E76-4D45-A26A-DCA35FA24EA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sto por Silla" sheetId="1" r:id="rId1"/>
    <sheet name="Costos Mensuales Fabrica" sheetId="2" r:id="rId2"/>
    <sheet name="Costos de Automatización" sheetId="3" r:id="rId3"/>
    <sheet name="Amortizació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D5" i="4"/>
  <c r="D8" i="4" s="1"/>
  <c r="E5" i="4"/>
  <c r="F5" i="4"/>
  <c r="G5" i="4"/>
  <c r="H5" i="4"/>
  <c r="I5" i="4"/>
  <c r="J5" i="4"/>
  <c r="K5" i="4"/>
  <c r="L5" i="4"/>
  <c r="L8" i="4" s="1"/>
  <c r="M5" i="4"/>
  <c r="N5" i="4"/>
  <c r="N6" i="4"/>
  <c r="C7" i="4"/>
  <c r="B26" i="4" s="1"/>
  <c r="D7" i="4"/>
  <c r="K7" i="4"/>
  <c r="K8" i="4" s="1"/>
  <c r="L7" i="4"/>
  <c r="B8" i="4"/>
  <c r="F7" i="4" s="1"/>
  <c r="F8" i="4" s="1"/>
  <c r="B11" i="4"/>
  <c r="H23" i="4" s="1"/>
  <c r="H25" i="4" s="1"/>
  <c r="C11" i="4"/>
  <c r="C13" i="4" s="1"/>
  <c r="D11" i="4"/>
  <c r="E11" i="4"/>
  <c r="F11" i="4"/>
  <c r="G11" i="4"/>
  <c r="H11" i="4"/>
  <c r="I11" i="4"/>
  <c r="I13" i="4" s="1"/>
  <c r="J11" i="4"/>
  <c r="J13" i="4" s="1"/>
  <c r="K11" i="4"/>
  <c r="K13" i="4" s="1"/>
  <c r="L11" i="4"/>
  <c r="M11" i="4"/>
  <c r="M12" i="4"/>
  <c r="D13" i="4"/>
  <c r="E13" i="4"/>
  <c r="F13" i="4"/>
  <c r="G13" i="4"/>
  <c r="H13" i="4"/>
  <c r="L13" i="4"/>
  <c r="M13" i="4"/>
  <c r="E17" i="4"/>
  <c r="C18" i="4" s="1"/>
  <c r="H17" i="4"/>
  <c r="H24" i="4"/>
  <c r="D4" i="3"/>
  <c r="B5" i="3"/>
  <c r="D5" i="3"/>
  <c r="D6" i="3"/>
  <c r="D7" i="3"/>
  <c r="B8" i="3"/>
  <c r="D8" i="3"/>
  <c r="B9" i="3"/>
  <c r="D9" i="3" s="1"/>
  <c r="B10" i="3"/>
  <c r="D10" i="3"/>
  <c r="B11" i="3"/>
  <c r="D11" i="3" s="1"/>
  <c r="B12" i="3"/>
  <c r="D12" i="3"/>
  <c r="D13" i="3"/>
  <c r="B14" i="3"/>
  <c r="D14" i="3" s="1"/>
  <c r="D14" i="2"/>
  <c r="D13" i="2"/>
  <c r="D12" i="2"/>
  <c r="D11" i="2"/>
  <c r="D10" i="2"/>
  <c r="C9" i="2"/>
  <c r="B9" i="2"/>
  <c r="D9" i="2" s="1"/>
  <c r="C8" i="2"/>
  <c r="D8" i="2" s="1"/>
  <c r="D7" i="2"/>
  <c r="D6" i="2"/>
  <c r="D5" i="2"/>
  <c r="D4" i="2"/>
  <c r="E13" i="1"/>
  <c r="B11" i="1"/>
  <c r="B14" i="1" s="1"/>
  <c r="I8" i="4" l="1"/>
  <c r="B24" i="4"/>
  <c r="B29" i="4"/>
  <c r="B23" i="4"/>
  <c r="B19" i="4"/>
  <c r="H16" i="4"/>
  <c r="M7" i="4"/>
  <c r="M8" i="4" s="1"/>
  <c r="E7" i="4"/>
  <c r="E8" i="4" s="1"/>
  <c r="B27" i="4"/>
  <c r="B22" i="4"/>
  <c r="B20" i="4"/>
  <c r="J7" i="4"/>
  <c r="J8" i="4" s="1"/>
  <c r="B25" i="4"/>
  <c r="B13" i="4"/>
  <c r="I7" i="4"/>
  <c r="B18" i="4"/>
  <c r="D18" i="4" s="1"/>
  <c r="E18" i="4" s="1"/>
  <c r="C8" i="4"/>
  <c r="H7" i="4"/>
  <c r="H8" i="4" s="1"/>
  <c r="G7" i="4"/>
  <c r="G8" i="4" s="1"/>
  <c r="B28" i="4"/>
  <c r="B21" i="4"/>
  <c r="N7" i="4"/>
  <c r="N8" i="4" s="1"/>
  <c r="D15" i="3"/>
  <c r="D15" i="2"/>
  <c r="H19" i="4" l="1"/>
  <c r="H20" i="4"/>
  <c r="H26" i="4" s="1"/>
  <c r="H18" i="4"/>
  <c r="C19" i="4"/>
  <c r="D19" i="4" s="1"/>
  <c r="E19" i="4" s="1"/>
  <c r="C20" i="4" l="1"/>
  <c r="D20" i="4" s="1"/>
  <c r="E20" i="4" s="1"/>
  <c r="C21" i="4" l="1"/>
  <c r="D21" i="4" s="1"/>
  <c r="E21" i="4"/>
  <c r="C22" i="4" l="1"/>
  <c r="D22" i="4" s="1"/>
  <c r="E22" i="4" s="1"/>
  <c r="C23" i="4" l="1"/>
  <c r="D23" i="4" s="1"/>
  <c r="E23" i="4"/>
  <c r="E24" i="4" l="1"/>
  <c r="C24" i="4"/>
  <c r="D24" i="4" s="1"/>
  <c r="C25" i="4" l="1"/>
  <c r="D25" i="4" s="1"/>
  <c r="E25" i="4" s="1"/>
  <c r="C26" i="4" l="1"/>
  <c r="D26" i="4" s="1"/>
  <c r="E26" i="4" s="1"/>
  <c r="E27" i="4" l="1"/>
  <c r="C27" i="4"/>
  <c r="D27" i="4" s="1"/>
  <c r="C28" i="4" l="1"/>
  <c r="D28" i="4" s="1"/>
  <c r="E28" i="4" s="1"/>
  <c r="E29" i="4" l="1"/>
  <c r="C29" i="4"/>
  <c r="D29" i="4" s="1"/>
</calcChain>
</file>

<file path=xl/sharedStrings.xml><?xml version="1.0" encoding="utf-8"?>
<sst xmlns="http://schemas.openxmlformats.org/spreadsheetml/2006/main" count="94" uniqueCount="73">
  <si>
    <t>Costos con reposabrazos</t>
  </si>
  <si>
    <t>Valor</t>
  </si>
  <si>
    <t>Costos sin reposabrazos</t>
  </si>
  <si>
    <t>Pintura</t>
  </si>
  <si>
    <t>Perfil 45mm</t>
  </si>
  <si>
    <t>Perfil 25mm</t>
  </si>
  <si>
    <t>Laminas base</t>
  </si>
  <si>
    <t>Lamina madera</t>
  </si>
  <si>
    <t>Tela</t>
  </si>
  <si>
    <t>Hilo</t>
  </si>
  <si>
    <t>Poliuretano</t>
  </si>
  <si>
    <t>PU</t>
  </si>
  <si>
    <t>Desmoldeante</t>
  </si>
  <si>
    <t>Polipropileno</t>
  </si>
  <si>
    <t>Mano de obra</t>
  </si>
  <si>
    <t>Costos de Sitio</t>
  </si>
  <si>
    <t>Costo total por silla</t>
  </si>
  <si>
    <t>Costos mensuales planta</t>
  </si>
  <si>
    <t>Costo individual o por unidad</t>
  </si>
  <si>
    <t>Cantidad</t>
  </si>
  <si>
    <t>Salario total</t>
  </si>
  <si>
    <t>Operarios procesos manuales</t>
  </si>
  <si>
    <t>Operarios procesos automatizados</t>
  </si>
  <si>
    <t xml:space="preserve">Perfil cuadrado de acero A36 de 45mm </t>
  </si>
  <si>
    <t xml:space="preserve">Perfil cuadrado de acero A36 de 25mm </t>
  </si>
  <si>
    <t>Laminas acero 5 mm base</t>
  </si>
  <si>
    <t>Laminas madera</t>
  </si>
  <si>
    <t>Cuerina</t>
  </si>
  <si>
    <t>Poliuretano (PU)</t>
  </si>
  <si>
    <t>PP</t>
  </si>
  <si>
    <t xml:space="preserve">Arriendo </t>
  </si>
  <si>
    <t>Servivios públicos</t>
  </si>
  <si>
    <t>Total</t>
  </si>
  <si>
    <t xml:space="preserve"> </t>
  </si>
  <si>
    <t>PLC/PAC Allen Bradley 1769-L30ERD + Slots I/O</t>
  </si>
  <si>
    <t>Computador Empresarial Lenovo Thinkcentre M920z Intel Core I7 9ª generación Win 10</t>
  </si>
  <si>
    <t>Sofware RobotStudio</t>
  </si>
  <si>
    <t>Software Ignition</t>
  </si>
  <si>
    <t>Sofware Siemenx NX</t>
  </si>
  <si>
    <t>Software Studio 5000</t>
  </si>
  <si>
    <t>Perdidas instalación y puesta en marcha de elementos de automatización</t>
  </si>
  <si>
    <t>Instalación matrices de soldadura dentro de las celdas de soldadura</t>
  </si>
  <si>
    <t>Adecuación e instalación de elementos de ABB</t>
  </si>
  <si>
    <t>Bandas transportadoras ABB</t>
  </si>
  <si>
    <t>Robot soldadura ABB IRB 2600 + Kit de soldadura + Controlador</t>
  </si>
  <si>
    <t>Matriz de soldadura</t>
  </si>
  <si>
    <t>Celda de soldadura para IRB2600 con protecciones y posicionador FlexARC 300L</t>
  </si>
  <si>
    <t>Valor total</t>
  </si>
  <si>
    <t>Valor Unidad</t>
  </si>
  <si>
    <t>Costos Automatización del Proceso</t>
  </si>
  <si>
    <t xml:space="preserve">UTILIDAD TOTAL LUEGO DE LOS 10 AÑOS </t>
  </si>
  <si>
    <t>UTILIDAD NETA DEL EJERCICIO POR AÑO</t>
  </si>
  <si>
    <t>COSTOS</t>
  </si>
  <si>
    <t>VENTAS</t>
  </si>
  <si>
    <t>ESTADO DE PERDIDAS Y GANANCIAS AÑO 2 HASTA EL 10</t>
  </si>
  <si>
    <t>UTILIDAD NETA DEL EJERCICIO</t>
  </si>
  <si>
    <t>GASTOS FINANCIEROS</t>
  </si>
  <si>
    <t>UTILIDAD BRUTA</t>
  </si>
  <si>
    <t>SALDO</t>
  </si>
  <si>
    <t>K</t>
  </si>
  <si>
    <t>int</t>
  </si>
  <si>
    <t>PAGO</t>
  </si>
  <si>
    <t>N</t>
  </si>
  <si>
    <t>ESTADO DE PERDIDAS Y GANANCIAS EN EL PRIMER AÑO</t>
  </si>
  <si>
    <t>Pago de la deuda a lo largo del primer año</t>
  </si>
  <si>
    <t>Total mes</t>
  </si>
  <si>
    <t xml:space="preserve">Egresos </t>
  </si>
  <si>
    <t xml:space="preserve">Ingresos </t>
  </si>
  <si>
    <t xml:space="preserve">Mes (Años 2 a 10) </t>
  </si>
  <si>
    <t>Pago deuda</t>
  </si>
  <si>
    <t>Mes (Primer año)</t>
  </si>
  <si>
    <t>Numero de periodos</t>
  </si>
  <si>
    <t>Tasa de 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</si>
</sst>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"/>
    <numFmt numFmtId="165" formatCode="#,##0.0\ [$€-1]"/>
    <numFmt numFmtId="166" formatCode="#,##0\ [$€-1]"/>
  </numFmts>
  <fonts count="1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333333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  <scheme val="minor"/>
    </font>
    <font>
      <b/>
      <sz val="11"/>
      <color theme="1"/>
      <name val="Calibri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C0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3" borderId="4" xfId="0" applyNumberFormat="1" applyFont="1" applyFill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1" fillId="2" borderId="3" xfId="0" applyFont="1" applyFill="1" applyBorder="1" applyAlignment="1"/>
    <xf numFmtId="164" fontId="2" fillId="4" borderId="1" xfId="0" applyNumberFormat="1" applyFont="1" applyFill="1" applyBorder="1" applyAlignment="1">
      <alignment horizontal="right"/>
    </xf>
    <xf numFmtId="0" fontId="3" fillId="0" borderId="0" xfId="0" applyFont="1" applyAlignment="1"/>
    <xf numFmtId="0" fontId="1" fillId="2" borderId="5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6" fillId="0" borderId="0" xfId="0" applyFont="1" applyAlignment="1">
      <alignment horizontal="right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0" xfId="0"/>
    <xf numFmtId="164" fontId="4" fillId="4" borderId="1" xfId="0" applyNumberFormat="1" applyFont="1" applyFill="1" applyBorder="1"/>
    <xf numFmtId="0" fontId="7" fillId="2" borderId="1" xfId="0" applyFont="1" applyFill="1" applyBorder="1"/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/>
    <xf numFmtId="0" fontId="8" fillId="3" borderId="1" xfId="0" applyFont="1" applyFill="1" applyBorder="1"/>
    <xf numFmtId="16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8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/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164" fontId="8" fillId="6" borderId="0" xfId="0" applyNumberFormat="1" applyFont="1" applyFill="1"/>
    <xf numFmtId="0" fontId="8" fillId="6" borderId="0" xfId="0" applyFont="1" applyFill="1"/>
    <xf numFmtId="164" fontId="4" fillId="6" borderId="0" xfId="0" applyNumberFormat="1" applyFont="1" applyFill="1" applyAlignment="1">
      <alignment horizontal="right"/>
    </xf>
    <xf numFmtId="0" fontId="4" fillId="6" borderId="0" xfId="0" applyFont="1" applyFill="1"/>
    <xf numFmtId="164" fontId="4" fillId="5" borderId="1" xfId="0" applyNumberFormat="1" applyFont="1" applyFill="1" applyBorder="1"/>
    <xf numFmtId="166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8" fillId="5" borderId="1" xfId="0" applyNumberFormat="1" applyFont="1" applyFill="1" applyBorder="1"/>
    <xf numFmtId="0" fontId="10" fillId="5" borderId="1" xfId="0" applyFont="1" applyFill="1" applyBorder="1"/>
    <xf numFmtId="164" fontId="8" fillId="7" borderId="1" xfId="0" applyNumberFormat="1" applyFont="1" applyFill="1" applyBorder="1"/>
    <xf numFmtId="0" fontId="10" fillId="7" borderId="1" xfId="0" applyFont="1" applyFill="1" applyBorder="1"/>
    <xf numFmtId="164" fontId="8" fillId="8" borderId="1" xfId="0" applyNumberFormat="1" applyFont="1" applyFill="1" applyBorder="1"/>
    <xf numFmtId="0" fontId="10" fillId="8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8" fillId="5" borderId="1" xfId="0" applyFont="1" applyFill="1" applyBorder="1"/>
    <xf numFmtId="10" fontId="8" fillId="5" borderId="1" xfId="0" applyNumberFormat="1" applyFont="1" applyFill="1" applyBorder="1"/>
    <xf numFmtId="0" fontId="10" fillId="2" borderId="6" xfId="0" applyFont="1" applyFill="1" applyBorder="1" applyAlignment="1">
      <alignment horizontal="center"/>
    </xf>
    <xf numFmtId="0" fontId="12" fillId="0" borderId="5" xfId="0" applyFont="1" applyBorder="1"/>
    <xf numFmtId="0" fontId="12" fillId="0" borderId="2" xfId="0" applyFont="1" applyBorder="1"/>
    <xf numFmtId="0" fontId="7" fillId="6" borderId="0" xfId="0" applyFont="1" applyFill="1" applyAlignment="1">
      <alignment horizontal="center"/>
    </xf>
    <xf numFmtId="0" fontId="0" fillId="0" borderId="0" xfId="0"/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workbookViewId="0"/>
  </sheetViews>
  <sheetFormatPr baseColWidth="10" defaultColWidth="12.6640625" defaultRowHeight="15.75" customHeight="1" x14ac:dyDescent="0.25"/>
  <cols>
    <col min="1" max="1" width="23.77734375" bestFit="1" customWidth="1"/>
    <col min="2" max="2" width="13" customWidth="1"/>
    <col min="3" max="3" width="4.109375" customWidth="1"/>
    <col min="4" max="4" width="23.109375" bestFit="1" customWidth="1"/>
    <col min="5" max="5" width="11.44140625" customWidth="1"/>
    <col min="6" max="6" width="13" customWidth="1"/>
  </cols>
  <sheetData>
    <row r="1" spans="1:6" ht="13.2" x14ac:dyDescent="0.25">
      <c r="A1" s="1" t="s">
        <v>0</v>
      </c>
      <c r="B1" s="2" t="s">
        <v>1</v>
      </c>
      <c r="D1" s="1" t="s">
        <v>2</v>
      </c>
      <c r="E1" s="2" t="s">
        <v>1</v>
      </c>
    </row>
    <row r="2" spans="1:6" ht="15.75" customHeight="1" x14ac:dyDescent="0.3">
      <c r="A2" s="3" t="s">
        <v>3</v>
      </c>
      <c r="B2" s="4">
        <v>1950</v>
      </c>
      <c r="D2" s="3" t="s">
        <v>3</v>
      </c>
      <c r="E2" s="4">
        <v>1950</v>
      </c>
      <c r="F2" s="5"/>
    </row>
    <row r="3" spans="1:6" ht="15.75" customHeight="1" x14ac:dyDescent="0.3">
      <c r="A3" s="3" t="s">
        <v>4</v>
      </c>
      <c r="B3" s="4">
        <v>14448</v>
      </c>
      <c r="D3" s="3" t="s">
        <v>4</v>
      </c>
      <c r="E3" s="4">
        <v>14448</v>
      </c>
      <c r="F3" s="6"/>
    </row>
    <row r="4" spans="1:6" ht="15.75" customHeight="1" x14ac:dyDescent="0.3">
      <c r="A4" s="3" t="s">
        <v>5</v>
      </c>
      <c r="B4" s="7">
        <v>17939</v>
      </c>
      <c r="D4" s="3" t="s">
        <v>5</v>
      </c>
      <c r="E4" s="7">
        <v>17939</v>
      </c>
      <c r="F4" s="6"/>
    </row>
    <row r="5" spans="1:6" ht="15.75" customHeight="1" x14ac:dyDescent="0.3">
      <c r="A5" s="3" t="s">
        <v>6</v>
      </c>
      <c r="B5" s="7">
        <v>3240</v>
      </c>
      <c r="D5" s="3" t="s">
        <v>6</v>
      </c>
      <c r="E5" s="7">
        <v>3240</v>
      </c>
      <c r="F5" s="6"/>
    </row>
    <row r="6" spans="1:6" ht="15.75" customHeight="1" x14ac:dyDescent="0.3">
      <c r="A6" s="3" t="s">
        <v>7</v>
      </c>
      <c r="B6" s="7">
        <v>3120</v>
      </c>
      <c r="D6" s="3" t="s">
        <v>7</v>
      </c>
      <c r="E6" s="7">
        <v>3120</v>
      </c>
      <c r="F6" s="6"/>
    </row>
    <row r="7" spans="1:6" ht="15.75" customHeight="1" x14ac:dyDescent="0.3">
      <c r="A7" s="3" t="s">
        <v>8</v>
      </c>
      <c r="B7" s="7">
        <v>11310</v>
      </c>
      <c r="D7" s="3" t="s">
        <v>8</v>
      </c>
      <c r="E7" s="7">
        <v>11310</v>
      </c>
      <c r="F7" s="6"/>
    </row>
    <row r="8" spans="1:6" ht="15.75" customHeight="1" x14ac:dyDescent="0.3">
      <c r="A8" s="3" t="s">
        <v>9</v>
      </c>
      <c r="B8" s="7">
        <v>402</v>
      </c>
      <c r="D8" s="3" t="s">
        <v>9</v>
      </c>
      <c r="E8" s="7">
        <v>402</v>
      </c>
      <c r="F8" s="6"/>
    </row>
    <row r="9" spans="1:6" ht="15.75" customHeight="1" x14ac:dyDescent="0.3">
      <c r="A9" s="3" t="s">
        <v>10</v>
      </c>
      <c r="B9" s="7">
        <v>22542</v>
      </c>
      <c r="D9" s="3" t="s">
        <v>11</v>
      </c>
      <c r="E9" s="7">
        <v>22542</v>
      </c>
      <c r="F9" s="6"/>
    </row>
    <row r="10" spans="1:6" ht="15.75" customHeight="1" x14ac:dyDescent="0.3">
      <c r="A10" s="3" t="s">
        <v>12</v>
      </c>
      <c r="B10" s="7">
        <v>5714.5</v>
      </c>
      <c r="D10" s="3" t="s">
        <v>12</v>
      </c>
      <c r="E10" s="7">
        <v>5714.5</v>
      </c>
      <c r="F10" s="6"/>
    </row>
    <row r="11" spans="1:6" ht="15.75" customHeight="1" x14ac:dyDescent="0.3">
      <c r="A11" s="3" t="s">
        <v>13</v>
      </c>
      <c r="B11" s="7">
        <f>10239*2</f>
        <v>20478</v>
      </c>
      <c r="D11" s="3" t="s">
        <v>14</v>
      </c>
      <c r="E11" s="7">
        <v>30737.704918032799</v>
      </c>
      <c r="F11" s="6"/>
    </row>
    <row r="12" spans="1:6" ht="15.75" customHeight="1" x14ac:dyDescent="0.3">
      <c r="A12" s="3" t="s">
        <v>14</v>
      </c>
      <c r="B12" s="7">
        <v>30737.704918032799</v>
      </c>
      <c r="D12" s="3" t="s">
        <v>15</v>
      </c>
      <c r="E12" s="7">
        <v>12295.0819672131</v>
      </c>
      <c r="F12" s="6"/>
    </row>
    <row r="13" spans="1:6" ht="15.75" customHeight="1" x14ac:dyDescent="0.3">
      <c r="A13" s="3" t="s">
        <v>15</v>
      </c>
      <c r="B13" s="7">
        <v>12295.0819672131</v>
      </c>
      <c r="D13" s="8" t="s">
        <v>16</v>
      </c>
      <c r="E13" s="9">
        <f>SUM(E2:E12)</f>
        <v>123698.28688524591</v>
      </c>
      <c r="F13" s="6"/>
    </row>
    <row r="14" spans="1:6" ht="15.75" customHeight="1" x14ac:dyDescent="0.3">
      <c r="A14" s="8" t="s">
        <v>16</v>
      </c>
      <c r="B14" s="9">
        <f>SUM(B2:B13)</f>
        <v>144176.28688524591</v>
      </c>
      <c r="D14" s="10"/>
      <c r="E14" s="5"/>
      <c r="F14" s="6"/>
    </row>
    <row r="15" spans="1:6" ht="15.75" customHeight="1" x14ac:dyDescent="0.3">
      <c r="F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0"/>
  <sheetViews>
    <sheetView workbookViewId="0">
      <selection activeCell="B1" sqref="B1"/>
    </sheetView>
  </sheetViews>
  <sheetFormatPr baseColWidth="10" defaultColWidth="12.6640625" defaultRowHeight="15.75" customHeight="1" x14ac:dyDescent="0.25"/>
  <cols>
    <col min="1" max="1" width="34" bestFit="1" customWidth="1"/>
    <col min="2" max="2" width="24.44140625" customWidth="1"/>
    <col min="3" max="3" width="7.6640625" customWidth="1"/>
    <col min="4" max="4" width="20.77734375" customWidth="1"/>
    <col min="5" max="5" width="1.44140625" customWidth="1"/>
    <col min="6" max="6" width="15.33203125" customWidth="1"/>
  </cols>
  <sheetData>
    <row r="1" spans="1:6" ht="15.75" customHeight="1" x14ac:dyDescent="0.3">
      <c r="A1" s="1" t="s">
        <v>17</v>
      </c>
      <c r="B1" s="11" t="s">
        <v>18</v>
      </c>
      <c r="C1" s="12" t="s">
        <v>19</v>
      </c>
      <c r="D1" s="13" t="s">
        <v>20</v>
      </c>
      <c r="E1" s="14"/>
    </row>
    <row r="2" spans="1:6" ht="15.75" customHeight="1" x14ac:dyDescent="0.3">
      <c r="A2" s="15" t="s">
        <v>21</v>
      </c>
      <c r="B2" s="16">
        <v>1500000</v>
      </c>
      <c r="C2" s="17">
        <v>17</v>
      </c>
      <c r="D2" s="18">
        <v>25500000</v>
      </c>
      <c r="E2" s="14"/>
    </row>
    <row r="3" spans="1:6" ht="15.75" customHeight="1" x14ac:dyDescent="0.3">
      <c r="A3" s="15" t="s">
        <v>22</v>
      </c>
      <c r="B3" s="16">
        <v>3000000</v>
      </c>
      <c r="C3" s="17">
        <v>4</v>
      </c>
      <c r="D3" s="18">
        <v>12000000</v>
      </c>
      <c r="E3" s="14"/>
    </row>
    <row r="4" spans="1:6" ht="15.75" customHeight="1" x14ac:dyDescent="0.3">
      <c r="A4" s="19" t="s">
        <v>23</v>
      </c>
      <c r="B4" s="20">
        <v>2944.68</v>
      </c>
      <c r="C4" s="21">
        <v>6477</v>
      </c>
      <c r="D4" s="18">
        <f t="shared" ref="D4:D14" si="0">B4*C4</f>
        <v>19072692.359999999</v>
      </c>
      <c r="E4" s="14"/>
    </row>
    <row r="5" spans="1:6" ht="15.75" customHeight="1" x14ac:dyDescent="0.3">
      <c r="A5" s="19" t="s">
        <v>24</v>
      </c>
      <c r="B5" s="20">
        <v>2644.68</v>
      </c>
      <c r="C5" s="21">
        <v>8042</v>
      </c>
      <c r="D5" s="18">
        <f t="shared" si="0"/>
        <v>21268516.559999999</v>
      </c>
      <c r="E5" s="6"/>
      <c r="F5" s="6"/>
    </row>
    <row r="6" spans="1:6" ht="15.75" customHeight="1" x14ac:dyDescent="0.3">
      <c r="A6" s="22" t="s">
        <v>25</v>
      </c>
      <c r="B6" s="23">
        <v>3240</v>
      </c>
      <c r="C6" s="24">
        <v>1320</v>
      </c>
      <c r="D6" s="25">
        <f t="shared" si="0"/>
        <v>4276800</v>
      </c>
      <c r="E6" s="26"/>
      <c r="F6" s="26"/>
    </row>
    <row r="7" spans="1:6" ht="15.75" customHeight="1" x14ac:dyDescent="0.3">
      <c r="A7" s="22" t="s">
        <v>26</v>
      </c>
      <c r="B7" s="23">
        <v>3120</v>
      </c>
      <c r="C7" s="24">
        <v>1320</v>
      </c>
      <c r="D7" s="25">
        <f t="shared" si="0"/>
        <v>4118400</v>
      </c>
      <c r="E7" s="26"/>
      <c r="F7" s="26"/>
    </row>
    <row r="8" spans="1:6" ht="15.75" customHeight="1" x14ac:dyDescent="0.3">
      <c r="A8" s="22" t="s">
        <v>27</v>
      </c>
      <c r="B8" s="18">
        <v>5655</v>
      </c>
      <c r="C8" s="24">
        <f>2*1320</f>
        <v>2640</v>
      </c>
      <c r="D8" s="25">
        <f t="shared" si="0"/>
        <v>14929200</v>
      </c>
      <c r="E8" s="26"/>
      <c r="F8" s="26"/>
    </row>
    <row r="9" spans="1:6" ht="15.75" customHeight="1" x14ac:dyDescent="0.3">
      <c r="A9" s="22" t="s">
        <v>9</v>
      </c>
      <c r="B9" s="23">
        <f>6700/500</f>
        <v>13.4</v>
      </c>
      <c r="C9" s="27">
        <f>30*1320</f>
        <v>39600</v>
      </c>
      <c r="D9" s="25">
        <f t="shared" si="0"/>
        <v>530640</v>
      </c>
      <c r="E9" s="26"/>
      <c r="F9" s="6"/>
    </row>
    <row r="10" spans="1:6" ht="15.75" customHeight="1" x14ac:dyDescent="0.3">
      <c r="A10" s="28" t="s">
        <v>28</v>
      </c>
      <c r="B10" s="23">
        <v>11271</v>
      </c>
      <c r="C10" s="27">
        <v>1320</v>
      </c>
      <c r="D10" s="25">
        <f t="shared" si="0"/>
        <v>14877720</v>
      </c>
      <c r="E10" s="26"/>
      <c r="F10" s="6"/>
    </row>
    <row r="11" spans="1:6" ht="15.75" customHeight="1" x14ac:dyDescent="0.3">
      <c r="A11" s="28" t="s">
        <v>12</v>
      </c>
      <c r="B11" s="23">
        <v>5714.5</v>
      </c>
      <c r="C11" s="24">
        <v>1320</v>
      </c>
      <c r="D11" s="25">
        <f t="shared" si="0"/>
        <v>7543140</v>
      </c>
      <c r="E11" s="26"/>
      <c r="F11" s="6"/>
    </row>
    <row r="12" spans="1:6" ht="15.75" customHeight="1" x14ac:dyDescent="0.3">
      <c r="A12" s="28" t="s">
        <v>29</v>
      </c>
      <c r="B12" s="23">
        <v>10239</v>
      </c>
      <c r="C12" s="24">
        <v>1320</v>
      </c>
      <c r="D12" s="25">
        <f t="shared" si="0"/>
        <v>13515480</v>
      </c>
      <c r="E12" s="26"/>
      <c r="F12" s="6"/>
    </row>
    <row r="13" spans="1:6" ht="15.75" customHeight="1" x14ac:dyDescent="0.3">
      <c r="A13" s="28" t="s">
        <v>30</v>
      </c>
      <c r="B13" s="23">
        <v>10000000</v>
      </c>
      <c r="C13" s="24">
        <v>1</v>
      </c>
      <c r="D13" s="25">
        <f t="shared" si="0"/>
        <v>10000000</v>
      </c>
      <c r="E13" s="26"/>
      <c r="F13" s="6"/>
    </row>
    <row r="14" spans="1:6" ht="15.75" customHeight="1" x14ac:dyDescent="0.3">
      <c r="A14" s="28" t="s">
        <v>31</v>
      </c>
      <c r="B14" s="23">
        <v>5000000</v>
      </c>
      <c r="C14" s="24">
        <v>1</v>
      </c>
      <c r="D14" s="25">
        <f t="shared" si="0"/>
        <v>5000000</v>
      </c>
      <c r="E14" s="29"/>
      <c r="F14" s="6"/>
    </row>
    <row r="15" spans="1:6" ht="15.75" customHeight="1" x14ac:dyDescent="0.3">
      <c r="A15" s="30"/>
      <c r="B15" s="30"/>
      <c r="C15" s="31" t="s">
        <v>32</v>
      </c>
      <c r="D15" s="32">
        <f>SUM(D2:D14)</f>
        <v>152632588.92000002</v>
      </c>
      <c r="E15" s="29"/>
      <c r="F15" s="6"/>
    </row>
    <row r="16" spans="1:6" ht="15.75" customHeight="1" x14ac:dyDescent="0.3">
      <c r="C16" s="29"/>
      <c r="D16" s="29"/>
      <c r="E16" s="29" t="s">
        <v>33</v>
      </c>
      <c r="F16" s="6"/>
    </row>
    <row r="17" spans="3:6" ht="15.75" customHeight="1" x14ac:dyDescent="0.3">
      <c r="C17" s="29"/>
      <c r="D17" s="29"/>
      <c r="E17" s="29"/>
      <c r="F17" s="6"/>
    </row>
    <row r="18" spans="3:6" ht="15.75" customHeight="1" x14ac:dyDescent="0.3">
      <c r="C18" s="29"/>
      <c r="D18" s="29"/>
      <c r="E18" s="29"/>
      <c r="F18" s="6"/>
    </row>
    <row r="19" spans="3:6" ht="15.75" customHeight="1" x14ac:dyDescent="0.3">
      <c r="C19" s="29"/>
      <c r="D19" s="6"/>
      <c r="E19" s="29"/>
      <c r="F19" s="6"/>
    </row>
    <row r="20" spans="3:6" ht="15.75" customHeight="1" x14ac:dyDescent="0.3">
      <c r="C20" s="10"/>
      <c r="D20" s="10"/>
      <c r="E20" s="5"/>
      <c r="F2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1BF-9804-4CD0-81E9-2751A87A599D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25"/>
  <cols>
    <col min="1" max="1" width="73.44140625" style="33" bestFit="1" customWidth="1"/>
    <col min="2" max="2" width="12.77734375" style="33" customWidth="1"/>
    <col min="3" max="3" width="8.33203125" style="33" customWidth="1"/>
    <col min="4" max="4" width="14.21875" style="33" bestFit="1" customWidth="1"/>
    <col min="5" max="16384" width="12.6640625" style="33"/>
  </cols>
  <sheetData>
    <row r="1" spans="1:4" x14ac:dyDescent="0.25">
      <c r="A1" s="31" t="s">
        <v>49</v>
      </c>
      <c r="B1" s="31" t="s">
        <v>48</v>
      </c>
      <c r="C1" s="31" t="s">
        <v>19</v>
      </c>
      <c r="D1" s="31" t="s">
        <v>47</v>
      </c>
    </row>
    <row r="2" spans="1:4" x14ac:dyDescent="0.25">
      <c r="A2" s="19" t="s">
        <v>46</v>
      </c>
      <c r="B2" s="43">
        <v>98543200</v>
      </c>
      <c r="C2" s="24">
        <v>3</v>
      </c>
      <c r="D2" s="7">
        <v>295629600</v>
      </c>
    </row>
    <row r="3" spans="1:4" x14ac:dyDescent="0.25">
      <c r="A3" s="19" t="s">
        <v>45</v>
      </c>
      <c r="B3" s="7">
        <v>3678563</v>
      </c>
      <c r="C3" s="24">
        <v>3</v>
      </c>
      <c r="D3" s="7">
        <v>11035689</v>
      </c>
    </row>
    <row r="4" spans="1:4" x14ac:dyDescent="0.25">
      <c r="A4" s="19" t="s">
        <v>44</v>
      </c>
      <c r="B4" s="7">
        <v>132417700</v>
      </c>
      <c r="C4" s="24">
        <v>3</v>
      </c>
      <c r="D4" s="7">
        <f t="shared" ref="D4:D14" si="0">B4*C4</f>
        <v>397253100</v>
      </c>
    </row>
    <row r="5" spans="1:4" x14ac:dyDescent="0.25">
      <c r="A5" s="39" t="s">
        <v>43</v>
      </c>
      <c r="B5" s="38">
        <f>260*3900</f>
        <v>1014000</v>
      </c>
      <c r="C5" s="42">
        <v>10</v>
      </c>
      <c r="D5" s="38">
        <f t="shared" si="0"/>
        <v>10140000</v>
      </c>
    </row>
    <row r="6" spans="1:4" x14ac:dyDescent="0.25">
      <c r="A6" s="39" t="s">
        <v>42</v>
      </c>
      <c r="B6" s="38">
        <v>50000000</v>
      </c>
      <c r="C6" s="42">
        <v>1</v>
      </c>
      <c r="D6" s="38">
        <f t="shared" si="0"/>
        <v>50000000</v>
      </c>
    </row>
    <row r="7" spans="1:4" x14ac:dyDescent="0.25">
      <c r="A7" s="39" t="s">
        <v>41</v>
      </c>
      <c r="B7" s="7">
        <v>1500000</v>
      </c>
      <c r="C7" s="42">
        <v>1</v>
      </c>
      <c r="D7" s="38">
        <f t="shared" si="0"/>
        <v>1500000</v>
      </c>
    </row>
    <row r="8" spans="1:4" x14ac:dyDescent="0.25">
      <c r="A8" s="39" t="s">
        <v>40</v>
      </c>
      <c r="B8" s="7">
        <f>25500000+12000000+15000000</f>
        <v>52500000</v>
      </c>
      <c r="C8" s="42">
        <v>1</v>
      </c>
      <c r="D8" s="38">
        <f t="shared" si="0"/>
        <v>52500000</v>
      </c>
    </row>
    <row r="9" spans="1:4" x14ac:dyDescent="0.25">
      <c r="A9" s="41" t="s">
        <v>39</v>
      </c>
      <c r="B9" s="40">
        <f>3900*3900</f>
        <v>15210000</v>
      </c>
      <c r="C9" s="37">
        <v>1</v>
      </c>
      <c r="D9" s="38">
        <f t="shared" si="0"/>
        <v>15210000</v>
      </c>
    </row>
    <row r="10" spans="1:4" x14ac:dyDescent="0.25">
      <c r="A10" s="41" t="s">
        <v>38</v>
      </c>
      <c r="B10" s="40">
        <f>5900*3900</f>
        <v>23010000</v>
      </c>
      <c r="C10" s="37">
        <v>1</v>
      </c>
      <c r="D10" s="38">
        <f t="shared" si="0"/>
        <v>23010000</v>
      </c>
    </row>
    <row r="11" spans="1:4" x14ac:dyDescent="0.25">
      <c r="A11" s="41" t="s">
        <v>37</v>
      </c>
      <c r="B11" s="40">
        <f>(1000+10450)*3900</f>
        <v>44655000</v>
      </c>
      <c r="C11" s="37">
        <v>1</v>
      </c>
      <c r="D11" s="38">
        <f t="shared" si="0"/>
        <v>44655000</v>
      </c>
    </row>
    <row r="12" spans="1:4" x14ac:dyDescent="0.25">
      <c r="A12" s="39" t="s">
        <v>36</v>
      </c>
      <c r="B12" s="38">
        <f>3100*3900</f>
        <v>12090000</v>
      </c>
      <c r="C12" s="37">
        <v>1</v>
      </c>
      <c r="D12" s="36">
        <f t="shared" si="0"/>
        <v>12090000</v>
      </c>
    </row>
    <row r="13" spans="1:4" x14ac:dyDescent="0.25">
      <c r="A13" s="39" t="s">
        <v>35</v>
      </c>
      <c r="B13" s="38">
        <v>5990000</v>
      </c>
      <c r="C13" s="37">
        <v>4</v>
      </c>
      <c r="D13" s="36">
        <f t="shared" si="0"/>
        <v>23960000</v>
      </c>
    </row>
    <row r="14" spans="1:4" x14ac:dyDescent="0.25">
      <c r="A14" s="39" t="s">
        <v>34</v>
      </c>
      <c r="B14" s="38">
        <f>(2500+1200+1200+1000)*3900</f>
        <v>23010000</v>
      </c>
      <c r="C14" s="37">
        <v>3</v>
      </c>
      <c r="D14" s="36">
        <f t="shared" si="0"/>
        <v>69030000</v>
      </c>
    </row>
    <row r="15" spans="1:4" x14ac:dyDescent="0.25">
      <c r="C15" s="35" t="s">
        <v>32</v>
      </c>
      <c r="D15" s="34">
        <f>SUM(D2:D14)</f>
        <v>1006013389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A50A-A266-4E6A-8316-913A8D0CEAC8}">
  <sheetPr>
    <outlinePr summaryBelow="0" summaryRight="0"/>
  </sheetPr>
  <dimension ref="A1:N82"/>
  <sheetViews>
    <sheetView tabSelected="1" topLeftCell="A4" workbookViewId="0">
      <selection activeCell="E17" sqref="E17"/>
    </sheetView>
  </sheetViews>
  <sheetFormatPr baseColWidth="10" defaultColWidth="12.6640625" defaultRowHeight="15.75" customHeight="1" x14ac:dyDescent="0.25"/>
  <cols>
    <col min="1" max="1" width="19.88671875" style="33" customWidth="1"/>
    <col min="2" max="2" width="15.88671875" style="33" customWidth="1"/>
    <col min="3" max="4" width="12.6640625" style="33"/>
    <col min="5" max="5" width="14.109375" style="33" bestFit="1" customWidth="1"/>
    <col min="6" max="6" width="12.6640625" style="33"/>
    <col min="7" max="7" width="38.44140625" style="33" bestFit="1" customWidth="1"/>
    <col min="8" max="8" width="15.21875" style="33" bestFit="1" customWidth="1"/>
    <col min="9" max="16384" width="12.6640625" style="33"/>
  </cols>
  <sheetData>
    <row r="1" spans="1:14" ht="13.2" x14ac:dyDescent="0.25">
      <c r="A1" s="64" t="s">
        <v>72</v>
      </c>
      <c r="B1" s="66">
        <v>0.11749999999999999</v>
      </c>
    </row>
    <row r="2" spans="1:14" ht="13.2" x14ac:dyDescent="0.25">
      <c r="A2" s="64" t="s">
        <v>71</v>
      </c>
      <c r="B2" s="65">
        <v>12</v>
      </c>
    </row>
    <row r="4" spans="1:14" ht="13.2" x14ac:dyDescent="0.25">
      <c r="A4" s="64" t="s">
        <v>70</v>
      </c>
      <c r="B4" s="63">
        <v>0</v>
      </c>
      <c r="C4" s="63">
        <v>1</v>
      </c>
      <c r="D4" s="63">
        <v>2</v>
      </c>
      <c r="E4" s="63">
        <v>3</v>
      </c>
      <c r="F4" s="63">
        <v>4</v>
      </c>
      <c r="G4" s="63">
        <v>5</v>
      </c>
      <c r="H4" s="63">
        <v>6</v>
      </c>
      <c r="I4" s="63">
        <v>7</v>
      </c>
      <c r="J4" s="63">
        <v>8</v>
      </c>
      <c r="K4" s="63">
        <v>9</v>
      </c>
      <c r="L4" s="63">
        <v>10</v>
      </c>
      <c r="M4" s="63">
        <v>11</v>
      </c>
      <c r="N4" s="63">
        <v>12</v>
      </c>
    </row>
    <row r="5" spans="1:14" ht="13.2" x14ac:dyDescent="0.25">
      <c r="A5" s="62" t="s">
        <v>67</v>
      </c>
      <c r="B5" s="61"/>
      <c r="C5" s="61">
        <f t="shared" ref="C5:N5" si="0">(660*235000)+(660*250000)</f>
        <v>320100000</v>
      </c>
      <c r="D5" s="61">
        <f t="shared" si="0"/>
        <v>320100000</v>
      </c>
      <c r="E5" s="61">
        <f t="shared" si="0"/>
        <v>320100000</v>
      </c>
      <c r="F5" s="61">
        <f t="shared" si="0"/>
        <v>320100000</v>
      </c>
      <c r="G5" s="61">
        <f t="shared" si="0"/>
        <v>320100000</v>
      </c>
      <c r="H5" s="61">
        <f t="shared" si="0"/>
        <v>320100000</v>
      </c>
      <c r="I5" s="61">
        <f t="shared" si="0"/>
        <v>320100000</v>
      </c>
      <c r="J5" s="61">
        <f t="shared" si="0"/>
        <v>320100000</v>
      </c>
      <c r="K5" s="61">
        <f t="shared" si="0"/>
        <v>320100000</v>
      </c>
      <c r="L5" s="61">
        <f t="shared" si="0"/>
        <v>320100000</v>
      </c>
      <c r="M5" s="61">
        <f t="shared" si="0"/>
        <v>320100000</v>
      </c>
      <c r="N5" s="61">
        <f t="shared" si="0"/>
        <v>320100000</v>
      </c>
    </row>
    <row r="6" spans="1:14" ht="13.2" x14ac:dyDescent="0.25">
      <c r="A6" s="60" t="s">
        <v>66</v>
      </c>
      <c r="B6" s="59">
        <v>1006013389</v>
      </c>
      <c r="C6" s="59">
        <v>152632589</v>
      </c>
      <c r="D6" s="59">
        <v>152632589</v>
      </c>
      <c r="E6" s="59">
        <v>152632589</v>
      </c>
      <c r="F6" s="59">
        <v>152632589</v>
      </c>
      <c r="G6" s="59">
        <v>152632589</v>
      </c>
      <c r="H6" s="59">
        <v>152632589</v>
      </c>
      <c r="I6" s="59">
        <v>152632589</v>
      </c>
      <c r="J6" s="59">
        <v>152632589</v>
      </c>
      <c r="K6" s="59">
        <v>152632589</v>
      </c>
      <c r="L6" s="59">
        <v>152632589</v>
      </c>
      <c r="M6" s="59">
        <v>152632589</v>
      </c>
      <c r="N6" s="59">
        <f>152632589+5000000</f>
        <v>157632589</v>
      </c>
    </row>
    <row r="7" spans="1:14" ht="13.2" x14ac:dyDescent="0.25">
      <c r="A7" s="60" t="s">
        <v>69</v>
      </c>
      <c r="B7" s="59"/>
      <c r="C7" s="59">
        <f t="shared" ref="C7:N7" si="1">PMT($B$1,$B$2,$B$8)</f>
        <v>160530661.75817037</v>
      </c>
      <c r="D7" s="59">
        <f t="shared" si="1"/>
        <v>160530661.75817037</v>
      </c>
      <c r="E7" s="59">
        <f t="shared" si="1"/>
        <v>160530661.75817037</v>
      </c>
      <c r="F7" s="59">
        <f t="shared" si="1"/>
        <v>160530661.75817037</v>
      </c>
      <c r="G7" s="59">
        <f t="shared" si="1"/>
        <v>160530661.75817037</v>
      </c>
      <c r="H7" s="59">
        <f t="shared" si="1"/>
        <v>160530661.75817037</v>
      </c>
      <c r="I7" s="59">
        <f t="shared" si="1"/>
        <v>160530661.75817037</v>
      </c>
      <c r="J7" s="59">
        <f t="shared" si="1"/>
        <v>160530661.75817037</v>
      </c>
      <c r="K7" s="59">
        <f t="shared" si="1"/>
        <v>160530661.75817037</v>
      </c>
      <c r="L7" s="59">
        <f t="shared" si="1"/>
        <v>160530661.75817037</v>
      </c>
      <c r="M7" s="59">
        <f t="shared" si="1"/>
        <v>160530661.75817037</v>
      </c>
      <c r="N7" s="59">
        <f t="shared" si="1"/>
        <v>160530661.75817037</v>
      </c>
    </row>
    <row r="8" spans="1:14" ht="13.2" x14ac:dyDescent="0.25">
      <c r="A8" s="58" t="s">
        <v>65</v>
      </c>
      <c r="B8" s="57">
        <f>B5-B6</f>
        <v>-1006013389</v>
      </c>
      <c r="C8" s="57">
        <f t="shared" ref="C8:N8" si="2">C5-C6-C7</f>
        <v>6936749.2418296337</v>
      </c>
      <c r="D8" s="57">
        <f t="shared" si="2"/>
        <v>6936749.2418296337</v>
      </c>
      <c r="E8" s="57">
        <f t="shared" si="2"/>
        <v>6936749.2418296337</v>
      </c>
      <c r="F8" s="57">
        <f t="shared" si="2"/>
        <v>6936749.2418296337</v>
      </c>
      <c r="G8" s="57">
        <f t="shared" si="2"/>
        <v>6936749.2418296337</v>
      </c>
      <c r="H8" s="57">
        <f t="shared" si="2"/>
        <v>6936749.2418296337</v>
      </c>
      <c r="I8" s="57">
        <f t="shared" si="2"/>
        <v>6936749.2418296337</v>
      </c>
      <c r="J8" s="57">
        <f t="shared" si="2"/>
        <v>6936749.2418296337</v>
      </c>
      <c r="K8" s="57">
        <f t="shared" si="2"/>
        <v>6936749.2418296337</v>
      </c>
      <c r="L8" s="57">
        <f t="shared" si="2"/>
        <v>6936749.2418296337</v>
      </c>
      <c r="M8" s="57">
        <f t="shared" si="2"/>
        <v>6936749.2418296337</v>
      </c>
      <c r="N8" s="57">
        <f t="shared" si="2"/>
        <v>1936749.2418296337</v>
      </c>
    </row>
    <row r="10" spans="1:14" ht="13.2" x14ac:dyDescent="0.25">
      <c r="A10" s="64" t="s">
        <v>68</v>
      </c>
      <c r="B10" s="63">
        <v>1</v>
      </c>
      <c r="C10" s="63">
        <v>2</v>
      </c>
      <c r="D10" s="63">
        <v>3</v>
      </c>
      <c r="E10" s="63">
        <v>4</v>
      </c>
      <c r="F10" s="63">
        <v>5</v>
      </c>
      <c r="G10" s="63">
        <v>6</v>
      </c>
      <c r="H10" s="63">
        <v>7</v>
      </c>
      <c r="I10" s="63">
        <v>8</v>
      </c>
      <c r="J10" s="63">
        <v>9</v>
      </c>
      <c r="K10" s="63">
        <v>10</v>
      </c>
      <c r="L10" s="63">
        <v>11</v>
      </c>
      <c r="M10" s="63">
        <v>12</v>
      </c>
    </row>
    <row r="11" spans="1:14" ht="13.2" x14ac:dyDescent="0.25">
      <c r="A11" s="62" t="s">
        <v>67</v>
      </c>
      <c r="B11" s="61">
        <f t="shared" ref="B11:M11" si="3">(660*235000)+(660*250000)</f>
        <v>320100000</v>
      </c>
      <c r="C11" s="61">
        <f t="shared" si="3"/>
        <v>320100000</v>
      </c>
      <c r="D11" s="61">
        <f t="shared" si="3"/>
        <v>320100000</v>
      </c>
      <c r="E11" s="61">
        <f t="shared" si="3"/>
        <v>320100000</v>
      </c>
      <c r="F11" s="61">
        <f t="shared" si="3"/>
        <v>320100000</v>
      </c>
      <c r="G11" s="61">
        <f t="shared" si="3"/>
        <v>320100000</v>
      </c>
      <c r="H11" s="61">
        <f t="shared" si="3"/>
        <v>320100000</v>
      </c>
      <c r="I11" s="61">
        <f t="shared" si="3"/>
        <v>320100000</v>
      </c>
      <c r="J11" s="61">
        <f t="shared" si="3"/>
        <v>320100000</v>
      </c>
      <c r="K11" s="61">
        <f t="shared" si="3"/>
        <v>320100000</v>
      </c>
      <c r="L11" s="61">
        <f t="shared" si="3"/>
        <v>320100000</v>
      </c>
      <c r="M11" s="61">
        <f t="shared" si="3"/>
        <v>320100000</v>
      </c>
    </row>
    <row r="12" spans="1:14" ht="13.2" x14ac:dyDescent="0.25">
      <c r="A12" s="60" t="s">
        <v>66</v>
      </c>
      <c r="B12" s="59">
        <v>152632589</v>
      </c>
      <c r="C12" s="59">
        <v>152632589</v>
      </c>
      <c r="D12" s="59">
        <v>152632589</v>
      </c>
      <c r="E12" s="59">
        <v>152632589</v>
      </c>
      <c r="F12" s="59">
        <v>152632589</v>
      </c>
      <c r="G12" s="59">
        <v>152632589</v>
      </c>
      <c r="H12" s="59">
        <v>152632589</v>
      </c>
      <c r="I12" s="59">
        <v>152632589</v>
      </c>
      <c r="J12" s="59">
        <v>152632589</v>
      </c>
      <c r="K12" s="59">
        <v>152632589</v>
      </c>
      <c r="L12" s="59">
        <v>152632589</v>
      </c>
      <c r="M12" s="59">
        <f>152632589+5000000</f>
        <v>157632589</v>
      </c>
    </row>
    <row r="13" spans="1:14" ht="13.2" x14ac:dyDescent="0.25">
      <c r="A13" s="58" t="s">
        <v>65</v>
      </c>
      <c r="B13" s="57">
        <f t="shared" ref="B13:M13" si="4">B11-B12</f>
        <v>167467411</v>
      </c>
      <c r="C13" s="57">
        <f t="shared" si="4"/>
        <v>167467411</v>
      </c>
      <c r="D13" s="57">
        <f t="shared" si="4"/>
        <v>167467411</v>
      </c>
      <c r="E13" s="57">
        <f t="shared" si="4"/>
        <v>167467411</v>
      </c>
      <c r="F13" s="57">
        <f t="shared" si="4"/>
        <v>167467411</v>
      </c>
      <c r="G13" s="57">
        <f t="shared" si="4"/>
        <v>167467411</v>
      </c>
      <c r="H13" s="57">
        <f t="shared" si="4"/>
        <v>167467411</v>
      </c>
      <c r="I13" s="57">
        <f t="shared" si="4"/>
        <v>167467411</v>
      </c>
      <c r="J13" s="57">
        <f t="shared" si="4"/>
        <v>167467411</v>
      </c>
      <c r="K13" s="57">
        <f t="shared" si="4"/>
        <v>167467411</v>
      </c>
      <c r="L13" s="57">
        <f t="shared" si="4"/>
        <v>167467411</v>
      </c>
      <c r="M13" s="57">
        <f t="shared" si="4"/>
        <v>162467411</v>
      </c>
    </row>
    <row r="14" spans="1:14" ht="15.75" customHeight="1" x14ac:dyDescent="0.3">
      <c r="A14" s="56"/>
      <c r="B14" s="56"/>
      <c r="C14" s="56"/>
      <c r="D14" s="56"/>
      <c r="E14" s="56"/>
      <c r="I14" s="44"/>
      <c r="J14" s="45"/>
      <c r="K14" s="44"/>
    </row>
    <row r="15" spans="1:14" ht="15.75" customHeight="1" x14ac:dyDescent="0.3">
      <c r="A15" s="67" t="s">
        <v>64</v>
      </c>
      <c r="B15" s="68"/>
      <c r="C15" s="68"/>
      <c r="D15" s="68"/>
      <c r="E15" s="69"/>
      <c r="G15" s="70" t="s">
        <v>63</v>
      </c>
      <c r="H15" s="71"/>
      <c r="I15" s="44"/>
      <c r="J15" s="45"/>
      <c r="K15" s="44"/>
    </row>
    <row r="16" spans="1:14" ht="15.75" customHeight="1" x14ac:dyDescent="0.3">
      <c r="A16" s="55" t="s">
        <v>62</v>
      </c>
      <c r="B16" s="55" t="s">
        <v>61</v>
      </c>
      <c r="C16" s="55" t="s">
        <v>60</v>
      </c>
      <c r="D16" s="55" t="s">
        <v>59</v>
      </c>
      <c r="E16" s="54" t="s">
        <v>58</v>
      </c>
      <c r="G16" s="52" t="s">
        <v>53</v>
      </c>
      <c r="H16" s="51">
        <f>SUM(C5:N5)</f>
        <v>3841200000</v>
      </c>
      <c r="I16" s="44"/>
      <c r="J16" s="45"/>
      <c r="K16" s="44"/>
    </row>
    <row r="17" spans="1:11" ht="15.75" customHeight="1" x14ac:dyDescent="0.3">
      <c r="A17" s="48">
        <v>0</v>
      </c>
      <c r="B17" s="53"/>
      <c r="C17" s="53"/>
      <c r="D17" s="53"/>
      <c r="E17" s="47">
        <f>B6</f>
        <v>1006013389</v>
      </c>
      <c r="G17" s="52" t="s">
        <v>52</v>
      </c>
      <c r="H17" s="51">
        <f>SUM(B6:N6)</f>
        <v>2842604457</v>
      </c>
      <c r="I17" s="44"/>
      <c r="J17" s="45"/>
      <c r="K17" s="44"/>
    </row>
    <row r="18" spans="1:11" ht="15.75" customHeight="1" x14ac:dyDescent="0.3">
      <c r="A18" s="48">
        <v>1</v>
      </c>
      <c r="B18" s="47">
        <f t="shared" ref="B18:B29" si="5">$C$7</f>
        <v>160530661.75817037</v>
      </c>
      <c r="C18" s="47">
        <f t="shared" ref="C18:C29" si="6">E17*$B$1</f>
        <v>118206573.2075</v>
      </c>
      <c r="D18" s="47">
        <f t="shared" ref="D18:D29" si="7">B18-C18</f>
        <v>42324088.55067037</v>
      </c>
      <c r="E18" s="47">
        <f t="shared" ref="E18:E29" si="8">E17-D18</f>
        <v>963689300.44932961</v>
      </c>
      <c r="G18" s="52" t="s">
        <v>57</v>
      </c>
      <c r="H18" s="51">
        <f>H16-H17</f>
        <v>998595543</v>
      </c>
      <c r="I18" s="44"/>
      <c r="J18" s="45"/>
      <c r="K18" s="44"/>
    </row>
    <row r="19" spans="1:11" ht="15.75" customHeight="1" x14ac:dyDescent="0.3">
      <c r="A19" s="48">
        <v>2</v>
      </c>
      <c r="B19" s="47">
        <f t="shared" si="5"/>
        <v>160530661.75817037</v>
      </c>
      <c r="C19" s="47">
        <f t="shared" si="6"/>
        <v>113233492.80279623</v>
      </c>
      <c r="D19" s="47">
        <f t="shared" si="7"/>
        <v>47297168.955374137</v>
      </c>
      <c r="E19" s="47">
        <f t="shared" si="8"/>
        <v>916392131.49395549</v>
      </c>
      <c r="G19" s="52" t="s">
        <v>56</v>
      </c>
      <c r="H19" s="51">
        <f>SUM(C7:N7)-B6</f>
        <v>920354552.0980444</v>
      </c>
      <c r="I19" s="44"/>
      <c r="J19" s="45"/>
      <c r="K19" s="44"/>
    </row>
    <row r="20" spans="1:11" ht="15.75" customHeight="1" x14ac:dyDescent="0.3">
      <c r="A20" s="48">
        <v>3</v>
      </c>
      <c r="B20" s="47">
        <f t="shared" si="5"/>
        <v>160530661.75817037</v>
      </c>
      <c r="C20" s="47">
        <f t="shared" si="6"/>
        <v>107676075.45053977</v>
      </c>
      <c r="D20" s="47">
        <f t="shared" si="7"/>
        <v>52854586.307630599</v>
      </c>
      <c r="E20" s="47">
        <f t="shared" si="8"/>
        <v>863537545.18632483</v>
      </c>
      <c r="G20" s="52" t="s">
        <v>55</v>
      </c>
      <c r="H20" s="51">
        <f>H16-H17-H19</f>
        <v>78240990.901955605</v>
      </c>
      <c r="I20" s="44"/>
      <c r="J20" s="45"/>
      <c r="K20" s="44"/>
    </row>
    <row r="21" spans="1:11" ht="15.75" customHeight="1" x14ac:dyDescent="0.3">
      <c r="A21" s="48">
        <v>4</v>
      </c>
      <c r="B21" s="47">
        <f t="shared" si="5"/>
        <v>160530661.75817037</v>
      </c>
      <c r="C21" s="47">
        <f t="shared" si="6"/>
        <v>101465661.55939317</v>
      </c>
      <c r="D21" s="47">
        <f t="shared" si="7"/>
        <v>59065000.198777199</v>
      </c>
      <c r="E21" s="47">
        <f t="shared" si="8"/>
        <v>804472544.98754764</v>
      </c>
      <c r="I21" s="44"/>
      <c r="J21" s="45"/>
      <c r="K21" s="44"/>
    </row>
    <row r="22" spans="1:11" ht="15.75" customHeight="1" x14ac:dyDescent="0.3">
      <c r="A22" s="48">
        <v>5</v>
      </c>
      <c r="B22" s="47">
        <f t="shared" si="5"/>
        <v>160530661.75817037</v>
      </c>
      <c r="C22" s="47">
        <f t="shared" si="6"/>
        <v>94525524.036036849</v>
      </c>
      <c r="D22" s="47">
        <f t="shared" si="7"/>
        <v>66005137.722133517</v>
      </c>
      <c r="E22" s="47">
        <f t="shared" si="8"/>
        <v>738467407.26541412</v>
      </c>
      <c r="G22" s="72" t="s">
        <v>54</v>
      </c>
      <c r="H22" s="71"/>
      <c r="I22" s="44"/>
      <c r="J22" s="45"/>
      <c r="K22" s="44"/>
    </row>
    <row r="23" spans="1:11" ht="15.75" customHeight="1" x14ac:dyDescent="0.3">
      <c r="A23" s="48">
        <v>6</v>
      </c>
      <c r="B23" s="47">
        <f t="shared" si="5"/>
        <v>160530661.75817037</v>
      </c>
      <c r="C23" s="47">
        <f t="shared" si="6"/>
        <v>86769920.353686154</v>
      </c>
      <c r="D23" s="47">
        <f t="shared" si="7"/>
        <v>73760741.404484212</v>
      </c>
      <c r="E23" s="47">
        <f t="shared" si="8"/>
        <v>664706665.86092997</v>
      </c>
      <c r="G23" s="52" t="s">
        <v>53</v>
      </c>
      <c r="H23" s="51">
        <f>SUM(B11:M11)</f>
        <v>3841200000</v>
      </c>
      <c r="I23" s="44"/>
      <c r="J23" s="45"/>
      <c r="K23" s="44"/>
    </row>
    <row r="24" spans="1:11" ht="15.75" customHeight="1" x14ac:dyDescent="0.3">
      <c r="A24" s="48">
        <v>7</v>
      </c>
      <c r="B24" s="47">
        <f t="shared" si="5"/>
        <v>160530661.75817037</v>
      </c>
      <c r="C24" s="47">
        <f t="shared" si="6"/>
        <v>78103033.238659263</v>
      </c>
      <c r="D24" s="47">
        <f t="shared" si="7"/>
        <v>82427628.519511104</v>
      </c>
      <c r="E24" s="47">
        <f t="shared" si="8"/>
        <v>582279037.34141886</v>
      </c>
      <c r="G24" s="52" t="s">
        <v>52</v>
      </c>
      <c r="H24" s="51">
        <f>SUM(B12:M12)</f>
        <v>1836591068</v>
      </c>
      <c r="I24" s="44"/>
      <c r="J24" s="45"/>
      <c r="K24" s="44"/>
    </row>
    <row r="25" spans="1:11" ht="15.75" customHeight="1" x14ac:dyDescent="0.3">
      <c r="A25" s="48">
        <v>8</v>
      </c>
      <c r="B25" s="47">
        <f t="shared" si="5"/>
        <v>160530661.75817037</v>
      </c>
      <c r="C25" s="47">
        <f t="shared" si="6"/>
        <v>68417786.887616709</v>
      </c>
      <c r="D25" s="47">
        <f t="shared" si="7"/>
        <v>92112874.870553657</v>
      </c>
      <c r="E25" s="47">
        <f t="shared" si="8"/>
        <v>490166162.47086519</v>
      </c>
      <c r="G25" s="52" t="s">
        <v>51</v>
      </c>
      <c r="H25" s="51">
        <f>H23-H24</f>
        <v>2004608932</v>
      </c>
      <c r="I25" s="44"/>
      <c r="J25" s="45"/>
      <c r="K25" s="44"/>
    </row>
    <row r="26" spans="1:11" ht="15.75" customHeight="1" x14ac:dyDescent="0.3">
      <c r="A26" s="48">
        <v>9</v>
      </c>
      <c r="B26" s="47">
        <f t="shared" si="5"/>
        <v>160530661.75817037</v>
      </c>
      <c r="C26" s="47">
        <f t="shared" si="6"/>
        <v>57594524.090326659</v>
      </c>
      <c r="D26" s="47">
        <f t="shared" si="7"/>
        <v>102936137.6678437</v>
      </c>
      <c r="E26" s="47">
        <f t="shared" si="8"/>
        <v>387230024.80302149</v>
      </c>
      <c r="G26" s="50" t="s">
        <v>50</v>
      </c>
      <c r="H26" s="49">
        <f>((H25*9)/(1+0.0562)^9)+H20</f>
        <v>11107763267.737011</v>
      </c>
      <c r="I26" s="44"/>
      <c r="J26" s="45"/>
      <c r="K26" s="44"/>
    </row>
    <row r="27" spans="1:11" ht="14.4" x14ac:dyDescent="0.3">
      <c r="A27" s="48">
        <v>10</v>
      </c>
      <c r="B27" s="47">
        <f t="shared" si="5"/>
        <v>160530661.75817037</v>
      </c>
      <c r="C27" s="47">
        <f t="shared" si="6"/>
        <v>45499527.914355025</v>
      </c>
      <c r="D27" s="47">
        <f t="shared" si="7"/>
        <v>115031133.84381534</v>
      </c>
      <c r="E27" s="47">
        <f t="shared" si="8"/>
        <v>272198890.95920616</v>
      </c>
      <c r="I27" s="44"/>
      <c r="J27" s="45"/>
      <c r="K27" s="44"/>
    </row>
    <row r="28" spans="1:11" ht="14.4" x14ac:dyDescent="0.3">
      <c r="A28" s="48">
        <v>11</v>
      </c>
      <c r="B28" s="47">
        <f t="shared" si="5"/>
        <v>160530661.75817037</v>
      </c>
      <c r="C28" s="47">
        <f t="shared" si="6"/>
        <v>31983369.687706724</v>
      </c>
      <c r="D28" s="47">
        <f t="shared" si="7"/>
        <v>128547292.07046364</v>
      </c>
      <c r="E28" s="47">
        <f t="shared" si="8"/>
        <v>143651598.88874251</v>
      </c>
      <c r="I28" s="44"/>
      <c r="J28" s="45"/>
      <c r="K28" s="44"/>
    </row>
    <row r="29" spans="1:11" ht="14.4" x14ac:dyDescent="0.3">
      <c r="A29" s="48">
        <v>12</v>
      </c>
      <c r="B29" s="47">
        <f t="shared" si="5"/>
        <v>160530661.75817037</v>
      </c>
      <c r="C29" s="47">
        <f t="shared" si="6"/>
        <v>16879062.869427245</v>
      </c>
      <c r="D29" s="47">
        <f t="shared" si="7"/>
        <v>143651598.88874313</v>
      </c>
      <c r="E29" s="47">
        <f t="shared" si="8"/>
        <v>-6.2584877014160156E-7</v>
      </c>
      <c r="F29" s="30"/>
      <c r="G29" s="46"/>
      <c r="H29" s="45"/>
      <c r="I29" s="44"/>
      <c r="J29" s="45"/>
      <c r="K29" s="44"/>
    </row>
    <row r="30" spans="1:11" ht="14.4" x14ac:dyDescent="0.3">
      <c r="D30" s="30"/>
      <c r="E30" s="30"/>
      <c r="F30" s="30"/>
      <c r="G30" s="46"/>
      <c r="H30" s="45"/>
      <c r="I30" s="44"/>
      <c r="J30" s="45"/>
      <c r="K30" s="44"/>
    </row>
    <row r="31" spans="1:11" ht="14.4" x14ac:dyDescent="0.3">
      <c r="D31" s="30"/>
      <c r="E31" s="30"/>
      <c r="F31" s="30"/>
      <c r="G31" s="46"/>
      <c r="H31" s="45"/>
      <c r="I31" s="44"/>
      <c r="J31" s="45"/>
      <c r="K31" s="44"/>
    </row>
    <row r="32" spans="1:11" ht="14.4" x14ac:dyDescent="0.3">
      <c r="D32" s="30"/>
      <c r="E32" s="30"/>
      <c r="F32" s="30"/>
      <c r="G32" s="46"/>
      <c r="H32" s="45"/>
      <c r="I32" s="44"/>
      <c r="J32" s="45"/>
      <c r="K32" s="44"/>
    </row>
    <row r="33" spans="4:11" ht="14.4" x14ac:dyDescent="0.3">
      <c r="D33" s="30"/>
      <c r="E33" s="30"/>
      <c r="F33" s="30"/>
      <c r="G33" s="46"/>
      <c r="H33" s="45"/>
      <c r="I33" s="44"/>
      <c r="J33" s="45"/>
      <c r="K33" s="44"/>
    </row>
    <row r="34" spans="4:11" ht="14.4" x14ac:dyDescent="0.3">
      <c r="D34" s="30"/>
      <c r="E34" s="30"/>
      <c r="F34" s="30"/>
      <c r="G34" s="46"/>
      <c r="H34" s="45"/>
      <c r="I34" s="44"/>
      <c r="J34" s="45"/>
      <c r="K34" s="44"/>
    </row>
    <row r="35" spans="4:11" ht="14.4" x14ac:dyDescent="0.3">
      <c r="D35" s="30"/>
      <c r="E35" s="30"/>
      <c r="F35" s="30"/>
      <c r="G35" s="46"/>
      <c r="H35" s="45"/>
      <c r="I35" s="44"/>
      <c r="J35" s="45"/>
      <c r="K35" s="44"/>
    </row>
    <row r="36" spans="4:11" ht="14.4" x14ac:dyDescent="0.3">
      <c r="D36" s="30"/>
      <c r="E36" s="30"/>
      <c r="F36" s="30"/>
      <c r="G36" s="46"/>
      <c r="H36" s="45"/>
      <c r="I36" s="44"/>
      <c r="J36" s="45"/>
      <c r="K36" s="44"/>
    </row>
    <row r="37" spans="4:11" ht="14.4" x14ac:dyDescent="0.3">
      <c r="F37" s="30"/>
      <c r="G37" s="46"/>
      <c r="H37" s="45"/>
      <c r="I37" s="44"/>
      <c r="J37" s="45"/>
      <c r="K37" s="44"/>
    </row>
    <row r="38" spans="4:11" ht="14.4" x14ac:dyDescent="0.3">
      <c r="F38" s="30"/>
      <c r="G38" s="46"/>
      <c r="H38" s="45"/>
      <c r="I38" s="44"/>
      <c r="J38" s="45"/>
      <c r="K38" s="44"/>
    </row>
    <row r="39" spans="4:11" ht="14.4" x14ac:dyDescent="0.3">
      <c r="F39" s="30"/>
      <c r="G39" s="46"/>
      <c r="H39" s="45"/>
      <c r="I39" s="44"/>
      <c r="J39" s="45"/>
      <c r="K39" s="44"/>
    </row>
    <row r="40" spans="4:11" ht="14.4" x14ac:dyDescent="0.3">
      <c r="F40" s="30"/>
      <c r="G40" s="46"/>
      <c r="H40" s="45"/>
      <c r="I40" s="44"/>
      <c r="J40" s="45"/>
      <c r="K40" s="44"/>
    </row>
    <row r="41" spans="4:11" ht="14.4" x14ac:dyDescent="0.3">
      <c r="F41" s="30"/>
      <c r="G41" s="46"/>
      <c r="H41" s="45"/>
      <c r="I41" s="44"/>
      <c r="J41" s="45"/>
      <c r="K41" s="44"/>
    </row>
    <row r="42" spans="4:11" ht="14.4" x14ac:dyDescent="0.3">
      <c r="D42" s="30"/>
      <c r="E42" s="30"/>
      <c r="F42" s="30"/>
      <c r="G42" s="46"/>
      <c r="H42" s="45"/>
      <c r="I42" s="44"/>
      <c r="J42" s="45"/>
      <c r="K42" s="44"/>
    </row>
    <row r="43" spans="4:11" ht="14.4" x14ac:dyDescent="0.3">
      <c r="D43" s="30"/>
      <c r="E43" s="30"/>
      <c r="F43" s="30"/>
      <c r="G43" s="46"/>
      <c r="H43" s="45"/>
      <c r="I43" s="44"/>
      <c r="J43" s="45"/>
      <c r="K43" s="44"/>
    </row>
    <row r="44" spans="4:11" ht="14.4" x14ac:dyDescent="0.3">
      <c r="D44" s="30"/>
      <c r="E44" s="30"/>
      <c r="F44" s="30"/>
      <c r="G44" s="46"/>
      <c r="H44" s="45"/>
      <c r="I44" s="44"/>
      <c r="J44" s="45"/>
      <c r="K44" s="44"/>
    </row>
    <row r="45" spans="4:11" ht="14.4" x14ac:dyDescent="0.3">
      <c r="D45" s="30"/>
      <c r="E45" s="30"/>
      <c r="F45" s="30"/>
      <c r="G45" s="46"/>
      <c r="H45" s="45"/>
      <c r="I45" s="44"/>
      <c r="J45" s="45"/>
      <c r="K45" s="44"/>
    </row>
    <row r="46" spans="4:11" ht="14.4" x14ac:dyDescent="0.3">
      <c r="D46" s="30"/>
      <c r="E46" s="30"/>
      <c r="F46" s="30"/>
      <c r="G46" s="46"/>
      <c r="H46" s="45"/>
      <c r="I46" s="44"/>
      <c r="J46" s="45"/>
      <c r="K46" s="44"/>
    </row>
    <row r="47" spans="4:11" ht="14.4" x14ac:dyDescent="0.3">
      <c r="D47" s="30"/>
      <c r="E47" s="30"/>
      <c r="F47" s="30"/>
      <c r="G47" s="46"/>
      <c r="H47" s="45"/>
      <c r="I47" s="44"/>
      <c r="J47" s="45"/>
      <c r="K47" s="44"/>
    </row>
    <row r="48" spans="4:11" ht="14.4" x14ac:dyDescent="0.3">
      <c r="D48" s="30"/>
      <c r="E48" s="30"/>
      <c r="F48" s="30"/>
      <c r="G48" s="46"/>
      <c r="H48" s="45"/>
      <c r="I48" s="44"/>
      <c r="J48" s="45"/>
      <c r="K48" s="44"/>
    </row>
    <row r="49" spans="4:11" ht="14.4" x14ac:dyDescent="0.3">
      <c r="D49" s="30"/>
      <c r="E49" s="30"/>
      <c r="F49" s="30"/>
      <c r="G49" s="46"/>
      <c r="H49" s="45"/>
      <c r="I49" s="44"/>
      <c r="J49" s="45"/>
      <c r="K49" s="44"/>
    </row>
    <row r="50" spans="4:11" ht="14.4" x14ac:dyDescent="0.3">
      <c r="D50" s="30"/>
      <c r="E50" s="30"/>
      <c r="F50" s="30"/>
      <c r="G50" s="46"/>
      <c r="H50" s="45"/>
      <c r="I50" s="44"/>
      <c r="J50" s="45"/>
      <c r="K50" s="44"/>
    </row>
    <row r="51" spans="4:11" ht="14.4" x14ac:dyDescent="0.3">
      <c r="D51" s="30"/>
      <c r="E51" s="30"/>
      <c r="F51" s="30"/>
      <c r="G51" s="46"/>
      <c r="H51" s="45"/>
      <c r="I51" s="44"/>
      <c r="J51" s="45"/>
      <c r="K51" s="44"/>
    </row>
    <row r="52" spans="4:11" ht="14.4" x14ac:dyDescent="0.3">
      <c r="D52" s="30"/>
      <c r="E52" s="30"/>
      <c r="F52" s="30"/>
      <c r="G52" s="46"/>
      <c r="H52" s="45"/>
      <c r="I52" s="44"/>
      <c r="J52" s="45"/>
      <c r="K52" s="44"/>
    </row>
    <row r="53" spans="4:11" ht="14.4" x14ac:dyDescent="0.3">
      <c r="D53" s="30"/>
      <c r="E53" s="30"/>
      <c r="F53" s="30"/>
      <c r="G53" s="46"/>
      <c r="H53" s="45"/>
      <c r="I53" s="44"/>
      <c r="J53" s="45"/>
      <c r="K53" s="44"/>
    </row>
    <row r="54" spans="4:11" ht="14.4" x14ac:dyDescent="0.3">
      <c r="D54" s="30"/>
      <c r="E54" s="30"/>
      <c r="F54" s="30"/>
      <c r="G54" s="46"/>
      <c r="H54" s="45"/>
      <c r="I54" s="44"/>
      <c r="J54" s="45"/>
      <c r="K54" s="44"/>
    </row>
    <row r="55" spans="4:11" ht="14.4" x14ac:dyDescent="0.3">
      <c r="D55" s="30"/>
      <c r="E55" s="30"/>
      <c r="F55" s="30"/>
      <c r="G55" s="46"/>
      <c r="H55" s="45"/>
      <c r="I55" s="44"/>
      <c r="J55" s="45"/>
      <c r="K55" s="44"/>
    </row>
    <row r="56" spans="4:11" ht="14.4" x14ac:dyDescent="0.3">
      <c r="D56" s="30"/>
      <c r="E56" s="30"/>
      <c r="F56" s="30"/>
      <c r="G56" s="46"/>
      <c r="H56" s="45"/>
      <c r="I56" s="44"/>
      <c r="J56" s="45"/>
      <c r="K56" s="44"/>
    </row>
    <row r="57" spans="4:11" ht="14.4" x14ac:dyDescent="0.3">
      <c r="D57" s="30"/>
      <c r="E57" s="30"/>
      <c r="F57" s="30"/>
      <c r="G57" s="46"/>
      <c r="H57" s="45"/>
      <c r="I57" s="44"/>
      <c r="J57" s="45"/>
      <c r="K57" s="44"/>
    </row>
    <row r="58" spans="4:11" ht="14.4" x14ac:dyDescent="0.3">
      <c r="D58" s="30"/>
      <c r="E58" s="30"/>
      <c r="F58" s="30"/>
      <c r="G58" s="46"/>
      <c r="H58" s="45"/>
      <c r="I58" s="44"/>
      <c r="J58" s="45"/>
      <c r="K58" s="44"/>
    </row>
    <row r="59" spans="4:11" ht="14.4" x14ac:dyDescent="0.3">
      <c r="D59" s="30"/>
      <c r="E59" s="30"/>
      <c r="F59" s="30"/>
      <c r="G59" s="46"/>
      <c r="H59" s="45"/>
      <c r="I59" s="44"/>
      <c r="J59" s="45"/>
      <c r="K59" s="44"/>
    </row>
    <row r="60" spans="4:11" ht="14.4" x14ac:dyDescent="0.3">
      <c r="D60" s="30"/>
      <c r="E60" s="30"/>
      <c r="F60" s="30"/>
      <c r="G60" s="46"/>
      <c r="H60" s="45"/>
      <c r="I60" s="44"/>
      <c r="J60" s="45"/>
      <c r="K60" s="44"/>
    </row>
    <row r="61" spans="4:11" ht="14.4" x14ac:dyDescent="0.3">
      <c r="D61" s="30"/>
      <c r="E61" s="30"/>
      <c r="F61" s="30"/>
      <c r="G61" s="46"/>
      <c r="H61" s="45"/>
      <c r="I61" s="44"/>
      <c r="J61" s="45"/>
      <c r="K61" s="44"/>
    </row>
    <row r="62" spans="4:11" ht="14.4" x14ac:dyDescent="0.3">
      <c r="D62" s="30"/>
      <c r="E62" s="30"/>
      <c r="F62" s="30"/>
      <c r="G62" s="46"/>
      <c r="H62" s="45"/>
      <c r="I62" s="44"/>
      <c r="J62" s="45"/>
      <c r="K62" s="44"/>
    </row>
    <row r="63" spans="4:11" ht="14.4" x14ac:dyDescent="0.3">
      <c r="D63" s="30"/>
      <c r="E63" s="30"/>
      <c r="F63" s="30"/>
      <c r="G63" s="46"/>
      <c r="H63" s="45"/>
      <c r="I63" s="44"/>
      <c r="J63" s="45"/>
      <c r="K63" s="44"/>
    </row>
    <row r="64" spans="4:11" ht="14.4" x14ac:dyDescent="0.3">
      <c r="D64" s="30"/>
      <c r="E64" s="30"/>
      <c r="F64" s="30"/>
      <c r="G64" s="46"/>
      <c r="H64" s="45"/>
      <c r="I64" s="44"/>
      <c r="J64" s="45"/>
      <c r="K64" s="44"/>
    </row>
    <row r="65" spans="4:11" ht="14.4" x14ac:dyDescent="0.3">
      <c r="D65" s="30"/>
      <c r="E65" s="30"/>
      <c r="F65" s="30"/>
      <c r="G65" s="46"/>
      <c r="H65" s="45"/>
      <c r="I65" s="44"/>
      <c r="J65" s="45"/>
      <c r="K65" s="44"/>
    </row>
    <row r="66" spans="4:11" ht="14.4" x14ac:dyDescent="0.3">
      <c r="D66" s="30"/>
      <c r="E66" s="30"/>
      <c r="F66" s="30"/>
      <c r="G66" s="46"/>
      <c r="H66" s="45"/>
      <c r="I66" s="44"/>
      <c r="J66" s="45"/>
      <c r="K66" s="44"/>
    </row>
    <row r="67" spans="4:11" ht="14.4" x14ac:dyDescent="0.3">
      <c r="D67" s="30"/>
      <c r="E67" s="30"/>
      <c r="F67" s="30"/>
      <c r="G67" s="46"/>
      <c r="H67" s="45"/>
      <c r="I67" s="44"/>
      <c r="J67" s="45"/>
      <c r="K67" s="44"/>
    </row>
    <row r="68" spans="4:11" ht="14.4" x14ac:dyDescent="0.3">
      <c r="D68" s="30"/>
      <c r="E68" s="30"/>
      <c r="F68" s="30"/>
      <c r="G68" s="46"/>
      <c r="H68" s="45"/>
      <c r="I68" s="44"/>
      <c r="J68" s="45"/>
      <c r="K68" s="44"/>
    </row>
    <row r="69" spans="4:11" ht="14.4" x14ac:dyDescent="0.3">
      <c r="D69" s="30"/>
      <c r="E69" s="30"/>
      <c r="F69" s="30"/>
      <c r="G69" s="46"/>
      <c r="H69" s="45"/>
      <c r="I69" s="44"/>
      <c r="J69" s="45"/>
      <c r="K69" s="44"/>
    </row>
    <row r="70" spans="4:11" ht="14.4" x14ac:dyDescent="0.3">
      <c r="D70" s="30"/>
      <c r="E70" s="30"/>
      <c r="F70" s="30"/>
      <c r="G70" s="46"/>
      <c r="H70" s="45"/>
      <c r="I70" s="44"/>
      <c r="J70" s="45"/>
      <c r="K70" s="44"/>
    </row>
    <row r="71" spans="4:11" ht="14.4" x14ac:dyDescent="0.3">
      <c r="D71" s="30"/>
      <c r="E71" s="30"/>
      <c r="F71" s="30"/>
      <c r="G71" s="46"/>
      <c r="H71" s="45"/>
      <c r="I71" s="44"/>
      <c r="J71" s="45"/>
      <c r="K71" s="44"/>
    </row>
    <row r="72" spans="4:11" ht="14.4" x14ac:dyDescent="0.3">
      <c r="D72" s="30"/>
      <c r="E72" s="30"/>
      <c r="F72" s="30"/>
      <c r="G72" s="46"/>
      <c r="H72" s="45"/>
      <c r="I72" s="44"/>
      <c r="J72" s="45"/>
      <c r="K72" s="44"/>
    </row>
    <row r="73" spans="4:11" ht="14.4" x14ac:dyDescent="0.3">
      <c r="D73" s="30"/>
      <c r="E73" s="30"/>
      <c r="F73" s="30"/>
      <c r="G73" s="46"/>
      <c r="H73" s="45"/>
      <c r="I73" s="44"/>
      <c r="J73" s="45"/>
      <c r="K73" s="44"/>
    </row>
    <row r="74" spans="4:11" ht="14.4" x14ac:dyDescent="0.3">
      <c r="D74" s="30"/>
      <c r="E74" s="30"/>
      <c r="F74" s="30"/>
      <c r="G74" s="46"/>
      <c r="H74" s="45"/>
      <c r="I74" s="44"/>
      <c r="J74" s="45"/>
      <c r="K74" s="44"/>
    </row>
    <row r="75" spans="4:11" ht="14.4" x14ac:dyDescent="0.3">
      <c r="D75" s="30"/>
      <c r="E75" s="30"/>
      <c r="F75" s="30"/>
      <c r="G75" s="46"/>
      <c r="H75" s="45"/>
      <c r="I75" s="44"/>
      <c r="J75" s="45"/>
      <c r="K75" s="44"/>
    </row>
    <row r="76" spans="4:11" ht="14.4" x14ac:dyDescent="0.3">
      <c r="D76" s="30"/>
      <c r="E76" s="30"/>
      <c r="F76" s="30"/>
      <c r="G76" s="46"/>
      <c r="H76" s="45"/>
      <c r="I76" s="44"/>
      <c r="J76" s="45"/>
      <c r="K76" s="44"/>
    </row>
    <row r="77" spans="4:11" ht="14.4" x14ac:dyDescent="0.3">
      <c r="D77" s="30"/>
      <c r="E77" s="30"/>
      <c r="F77" s="30"/>
      <c r="G77" s="46"/>
      <c r="H77" s="45"/>
      <c r="I77" s="44"/>
      <c r="J77" s="45"/>
      <c r="K77" s="44"/>
    </row>
    <row r="78" spans="4:11" ht="14.4" x14ac:dyDescent="0.3">
      <c r="D78" s="30"/>
      <c r="E78" s="30"/>
      <c r="F78" s="30"/>
      <c r="G78" s="46"/>
      <c r="H78" s="45"/>
      <c r="I78" s="44"/>
      <c r="J78" s="45"/>
      <c r="K78" s="44"/>
    </row>
    <row r="79" spans="4:11" ht="14.4" x14ac:dyDescent="0.3">
      <c r="D79" s="30"/>
      <c r="E79" s="30"/>
      <c r="F79" s="30"/>
      <c r="G79" s="46"/>
      <c r="H79" s="45"/>
      <c r="I79" s="44"/>
      <c r="J79" s="45"/>
      <c r="K79" s="44"/>
    </row>
    <row r="80" spans="4:11" ht="14.4" x14ac:dyDescent="0.3">
      <c r="D80" s="30"/>
      <c r="E80" s="30"/>
      <c r="F80" s="30"/>
      <c r="G80" s="46"/>
      <c r="H80" s="45"/>
      <c r="I80" s="44"/>
      <c r="J80" s="45"/>
      <c r="K80" s="44"/>
    </row>
    <row r="81" spans="4:11" ht="14.4" x14ac:dyDescent="0.3">
      <c r="D81" s="30"/>
      <c r="E81" s="30"/>
      <c r="F81" s="30"/>
      <c r="G81" s="46"/>
      <c r="H81" s="45"/>
      <c r="I81" s="44"/>
      <c r="J81" s="45"/>
      <c r="K81" s="44"/>
    </row>
    <row r="82" spans="4:11" ht="14.4" x14ac:dyDescent="0.3">
      <c r="D82" s="30"/>
      <c r="E82" s="30"/>
      <c r="F82" s="30"/>
      <c r="G82" s="46"/>
      <c r="H82" s="45"/>
      <c r="I82" s="44"/>
      <c r="J82" s="45"/>
      <c r="K82" s="44"/>
    </row>
  </sheetData>
  <mergeCells count="3">
    <mergeCell ref="A15:E15"/>
    <mergeCell ref="G15:H15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 por Silla</vt:lpstr>
      <vt:lpstr>Costos Mensuales Fabrica</vt:lpstr>
      <vt:lpstr>Costos de Automatización</vt:lpstr>
      <vt:lpstr>Amortización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JHOHAN</cp:lastModifiedBy>
  <dcterms:modified xsi:type="dcterms:W3CDTF">2022-07-06T01:45:15Z</dcterms:modified>
</cp:coreProperties>
</file>