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cuppari_ad_unc_edu/Documents/Research/PhD Work/Columbia/BPA/BPA_Net_Revenue_Simulations/"/>
    </mc:Choice>
  </mc:AlternateContent>
  <xr:revisionPtr revIDLastSave="761" documentId="11_85E821152E61374A926A9006F28DC9310D262D37" xr6:coauthVersionLast="47" xr6:coauthVersionMax="47" xr10:uidLastSave="{2EF5ED96-8857-477F-92BD-5630C46B582A}"/>
  <bookViews>
    <workbookView xWindow="-110" yWindow="-110" windowWidth="19420" windowHeight="11620" firstSheet="2" activeTab="9" xr2:uid="{00000000-000D-0000-FFFF-FFFF00000000}"/>
  </bookViews>
  <sheets>
    <sheet name="load" sheetId="2" r:id="rId1"/>
    <sheet name="BP Net Resources" sheetId="4" r:id="rId2"/>
    <sheet name="available_transmission" sheetId="1" r:id="rId3"/>
    <sheet name="costs" sheetId="5" r:id="rId4"/>
    <sheet name="PF_rates" sheetId="8" r:id="rId5"/>
    <sheet name="IP_rates" sheetId="7" r:id="rId6"/>
    <sheet name="Validation" sheetId="10" r:id="rId7"/>
    <sheet name="expenses" sheetId="11" r:id="rId8"/>
    <sheet name="hist_rev" sheetId="12" r:id="rId9"/>
    <sheet name="res_b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1" l="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B7" i="11"/>
  <c r="P4" i="11"/>
  <c r="P5" i="11"/>
  <c r="P6" i="11"/>
  <c r="Y3" i="13"/>
  <c r="H4" i="13"/>
  <c r="I4" i="13"/>
  <c r="J4" i="13"/>
  <c r="K4" i="13"/>
  <c r="L4" i="13"/>
  <c r="M4" i="13"/>
  <c r="O4" i="13"/>
  <c r="X4" i="13"/>
  <c r="C15" i="8"/>
  <c r="D15" i="8"/>
  <c r="E15" i="8"/>
  <c r="F15" i="8"/>
  <c r="G15" i="8"/>
  <c r="H15" i="8"/>
  <c r="I15" i="8"/>
  <c r="J15" i="8"/>
  <c r="K15" i="8"/>
  <c r="L15" i="8"/>
  <c r="B15" i="8"/>
  <c r="B31" i="8"/>
  <c r="B4" i="13"/>
  <c r="C4" i="13"/>
  <c r="D4" i="13"/>
  <c r="E4" i="13"/>
  <c r="F4" i="13"/>
  <c r="G4" i="13"/>
  <c r="D6" i="13"/>
  <c r="X6" i="13"/>
  <c r="K6" i="13"/>
  <c r="U4" i="2"/>
  <c r="M7" i="8"/>
  <c r="M3" i="5"/>
  <c r="Y4" i="13"/>
  <c r="Y2" i="13"/>
  <c r="M4" i="5"/>
  <c r="M5" i="5"/>
  <c r="L3" i="5"/>
  <c r="C3" i="5"/>
  <c r="B3" i="5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6" i="4"/>
  <c r="U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20" i="4"/>
  <c r="U21" i="4"/>
  <c r="U22" i="4"/>
  <c r="U23" i="4"/>
  <c r="U24" i="4"/>
  <c r="U25" i="4"/>
  <c r="U27" i="4"/>
  <c r="U4" i="4"/>
  <c r="M3" i="7"/>
  <c r="M4" i="7"/>
  <c r="M5" i="7"/>
  <c r="M6" i="7"/>
  <c r="M7" i="7"/>
  <c r="M8" i="7"/>
  <c r="M9" i="7"/>
  <c r="M10" i="7"/>
  <c r="M11" i="7"/>
  <c r="M12" i="7"/>
  <c r="M13" i="7"/>
  <c r="M2" i="7"/>
  <c r="M3" i="8"/>
  <c r="M4" i="8"/>
  <c r="M5" i="8"/>
  <c r="M6" i="8"/>
  <c r="M8" i="8"/>
  <c r="M9" i="8"/>
  <c r="M10" i="8"/>
  <c r="M11" i="8"/>
  <c r="M12" i="8"/>
  <c r="M13" i="8"/>
  <c r="M2" i="8"/>
  <c r="D31" i="8"/>
  <c r="F31" i="8"/>
  <c r="H31" i="8"/>
  <c r="J31" i="8"/>
  <c r="L31" i="8"/>
  <c r="H2" i="1"/>
  <c r="H13" i="1" l="1"/>
  <c r="G5" i="10"/>
  <c r="G6" i="1"/>
  <c r="G3" i="1" l="1"/>
  <c r="J3" i="5"/>
  <c r="K3" i="5"/>
  <c r="I3" i="5"/>
  <c r="H11" i="10" s="1"/>
  <c r="H3" i="5"/>
  <c r="E3" i="5"/>
  <c r="G3" i="5"/>
  <c r="F3" i="5"/>
  <c r="D3" i="5"/>
  <c r="I11" i="10" l="1"/>
  <c r="J11" i="10"/>
  <c r="H12" i="10"/>
  <c r="I12" i="10"/>
  <c r="J12" i="10"/>
  <c r="H5" i="10"/>
  <c r="H10" i="10" s="1"/>
  <c r="I5" i="10"/>
  <c r="I10" i="10" s="1"/>
  <c r="J5" i="10"/>
  <c r="J10" i="10" s="1"/>
  <c r="L2" i="7"/>
  <c r="K2" i="7"/>
  <c r="J2" i="7"/>
  <c r="I2" i="7"/>
  <c r="L13" i="7"/>
  <c r="J13" i="7"/>
  <c r="K13" i="7" s="1"/>
  <c r="I13" i="7"/>
  <c r="L12" i="7"/>
  <c r="J12" i="7"/>
  <c r="K12" i="7" s="1"/>
  <c r="I12" i="7"/>
  <c r="L11" i="7"/>
  <c r="J11" i="7"/>
  <c r="K11" i="7" s="1"/>
  <c r="I11" i="7"/>
  <c r="L10" i="7"/>
  <c r="J10" i="7"/>
  <c r="K10" i="7" s="1"/>
  <c r="I10" i="7"/>
  <c r="L9" i="7"/>
  <c r="J9" i="7"/>
  <c r="K9" i="7" s="1"/>
  <c r="I9" i="7"/>
  <c r="L8" i="7"/>
  <c r="J8" i="7"/>
  <c r="K8" i="7" s="1"/>
  <c r="I8" i="7"/>
  <c r="L7" i="7"/>
  <c r="J7" i="7"/>
  <c r="K7" i="7" s="1"/>
  <c r="I7" i="7"/>
  <c r="L6" i="7"/>
  <c r="J6" i="7"/>
  <c r="K6" i="7" s="1"/>
  <c r="I6" i="7"/>
  <c r="L5" i="7"/>
  <c r="J5" i="7"/>
  <c r="K5" i="7" s="1"/>
  <c r="I5" i="7"/>
  <c r="L4" i="7"/>
  <c r="J4" i="7"/>
  <c r="K4" i="7" s="1"/>
  <c r="I4" i="7"/>
  <c r="L3" i="7"/>
  <c r="J3" i="7"/>
  <c r="K3" i="7" s="1"/>
  <c r="I3" i="7"/>
  <c r="K4" i="8"/>
  <c r="K5" i="8"/>
  <c r="K12" i="8"/>
  <c r="K13" i="8"/>
  <c r="L2" i="8"/>
  <c r="J3" i="8"/>
  <c r="K3" i="8" s="1"/>
  <c r="J4" i="8"/>
  <c r="J5" i="8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J13" i="8"/>
  <c r="J2" i="8"/>
  <c r="K2" i="8" s="1"/>
  <c r="H2" i="8"/>
  <c r="I2" i="8" s="1"/>
  <c r="L3" i="8"/>
  <c r="L4" i="8"/>
  <c r="L5" i="8"/>
  <c r="L6" i="8"/>
  <c r="L7" i="8"/>
  <c r="L8" i="8"/>
  <c r="L9" i="8"/>
  <c r="L10" i="8"/>
  <c r="L11" i="8"/>
  <c r="L12" i="8"/>
  <c r="L13" i="8"/>
  <c r="F7" i="8"/>
  <c r="N3" i="11" l="1"/>
  <c r="P3" i="11" s="1"/>
  <c r="O2" i="11"/>
  <c r="N2" i="11"/>
  <c r="M2" i="11"/>
  <c r="L2" i="11"/>
  <c r="K2" i="11"/>
  <c r="J2" i="11"/>
  <c r="I2" i="11"/>
  <c r="H2" i="11"/>
  <c r="G2" i="11"/>
  <c r="F2" i="11"/>
  <c r="E2" i="11"/>
  <c r="P2" i="11" s="1"/>
  <c r="F1" i="11"/>
  <c r="G1" i="11" s="1"/>
  <c r="H1" i="11" s="1"/>
  <c r="I1" i="11" s="1"/>
  <c r="J1" i="11" s="1"/>
  <c r="K1" i="11" s="1"/>
  <c r="L1" i="11" s="1"/>
  <c r="M1" i="11" s="1"/>
  <c r="N1" i="11" s="1"/>
  <c r="O1" i="11" s="1"/>
  <c r="H13" i="8" l="1"/>
  <c r="I13" i="8" s="1"/>
  <c r="H12" i="1" l="1"/>
  <c r="H11" i="1"/>
  <c r="H10" i="1"/>
  <c r="H9" i="1"/>
  <c r="H8" i="1"/>
  <c r="H7" i="1"/>
  <c r="H6" i="1"/>
  <c r="H5" i="1"/>
  <c r="H4" i="1"/>
  <c r="H3" i="1"/>
  <c r="G12" i="1"/>
  <c r="G11" i="1"/>
  <c r="G10" i="1"/>
  <c r="G13" i="1"/>
  <c r="G9" i="1"/>
  <c r="G8" i="1"/>
  <c r="G7" i="1"/>
  <c r="G5" i="1"/>
  <c r="G4" i="1"/>
  <c r="G2" i="1"/>
  <c r="B12" i="10"/>
  <c r="C12" i="10"/>
  <c r="D12" i="10"/>
  <c r="E12" i="10"/>
  <c r="F12" i="10"/>
  <c r="G12" i="10"/>
  <c r="B11" i="10"/>
  <c r="C11" i="10"/>
  <c r="D11" i="10"/>
  <c r="E11" i="10"/>
  <c r="F11" i="10"/>
  <c r="G11" i="10"/>
  <c r="E10" i="10"/>
  <c r="B5" i="10"/>
  <c r="B10" i="10" s="1"/>
  <c r="C5" i="10"/>
  <c r="C10" i="10" s="1"/>
  <c r="D5" i="10"/>
  <c r="D10" i="10" s="1"/>
  <c r="E5" i="10"/>
  <c r="F5" i="10"/>
  <c r="F10" i="10" s="1"/>
  <c r="G10" i="10"/>
  <c r="A3" i="10" l="1"/>
  <c r="A5" i="10" s="1"/>
  <c r="F13" i="8" l="1"/>
  <c r="G13" i="8" s="1"/>
  <c r="D13" i="8"/>
  <c r="E13" i="8" s="1"/>
  <c r="B13" i="8"/>
  <c r="H12" i="8"/>
  <c r="I12" i="8" s="1"/>
  <c r="F12" i="8"/>
  <c r="G12" i="8" s="1"/>
  <c r="D12" i="8"/>
  <c r="E12" i="8" s="1"/>
  <c r="B12" i="8"/>
  <c r="H11" i="8"/>
  <c r="I11" i="8" s="1"/>
  <c r="F11" i="8"/>
  <c r="G11" i="8" s="1"/>
  <c r="D11" i="8"/>
  <c r="E11" i="8" s="1"/>
  <c r="B11" i="8"/>
  <c r="H10" i="8"/>
  <c r="I10" i="8" s="1"/>
  <c r="F10" i="8"/>
  <c r="G10" i="8" s="1"/>
  <c r="D10" i="8"/>
  <c r="E10" i="8" s="1"/>
  <c r="B10" i="8"/>
  <c r="H9" i="8"/>
  <c r="I9" i="8" s="1"/>
  <c r="F9" i="8"/>
  <c r="G9" i="8" s="1"/>
  <c r="D9" i="8"/>
  <c r="E9" i="8" s="1"/>
  <c r="B9" i="8"/>
  <c r="H8" i="8"/>
  <c r="I8" i="8" s="1"/>
  <c r="F8" i="8"/>
  <c r="G8" i="8" s="1"/>
  <c r="D8" i="8"/>
  <c r="E8" i="8" s="1"/>
  <c r="B8" i="8"/>
  <c r="H7" i="8"/>
  <c r="I7" i="8" s="1"/>
  <c r="G7" i="8"/>
  <c r="D7" i="8"/>
  <c r="E7" i="8" s="1"/>
  <c r="B7" i="8"/>
  <c r="H6" i="8"/>
  <c r="I6" i="8" s="1"/>
  <c r="F6" i="8"/>
  <c r="G6" i="8" s="1"/>
  <c r="D6" i="8"/>
  <c r="E6" i="8" s="1"/>
  <c r="B6" i="8"/>
  <c r="H5" i="8"/>
  <c r="I5" i="8" s="1"/>
  <c r="F5" i="8"/>
  <c r="G5" i="8" s="1"/>
  <c r="D5" i="8"/>
  <c r="E5" i="8" s="1"/>
  <c r="B5" i="8"/>
  <c r="H4" i="8"/>
  <c r="I4" i="8" s="1"/>
  <c r="F4" i="8"/>
  <c r="G4" i="8" s="1"/>
  <c r="D4" i="8"/>
  <c r="E4" i="8" s="1"/>
  <c r="B4" i="8"/>
  <c r="H3" i="8"/>
  <c r="I3" i="8" s="1"/>
  <c r="F3" i="8"/>
  <c r="G3" i="8" s="1"/>
  <c r="D3" i="8"/>
  <c r="E3" i="8" s="1"/>
  <c r="B3" i="8"/>
  <c r="F2" i="8"/>
  <c r="G2" i="8" s="1"/>
  <c r="D2" i="8"/>
  <c r="E2" i="8" s="1"/>
  <c r="B2" i="8"/>
  <c r="H3" i="7"/>
  <c r="H4" i="7"/>
  <c r="H5" i="7"/>
  <c r="H6" i="7"/>
  <c r="H7" i="7"/>
  <c r="H8" i="7"/>
  <c r="H9" i="7"/>
  <c r="H10" i="7"/>
  <c r="H11" i="7"/>
  <c r="H12" i="7"/>
  <c r="H13" i="7"/>
  <c r="H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2" i="7"/>
  <c r="G2" i="7" s="1"/>
  <c r="B2" i="7"/>
  <c r="C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2" i="7"/>
  <c r="E2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C12" i="8" l="1"/>
  <c r="C5" i="8"/>
  <c r="C7" i="8"/>
  <c r="C9" i="8"/>
  <c r="C11" i="8"/>
  <c r="C2" i="8"/>
  <c r="C4" i="8"/>
  <c r="C13" i="8"/>
  <c r="C6" i="8"/>
  <c r="C8" i="8"/>
  <c r="C3" i="8"/>
  <c r="C10" i="8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8" i="2"/>
  <c r="E17" i="2"/>
  <c r="F17" i="2" l="1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7" i="2"/>
  <c r="C27" i="4" l="1"/>
  <c r="B27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4" i="4"/>
  <c r="J8" i="4"/>
  <c r="K8" i="4"/>
  <c r="L8" i="4"/>
  <c r="M8" i="4"/>
  <c r="N8" i="4"/>
  <c r="O8" i="4"/>
  <c r="C20" i="4" l="1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0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O26" i="4" s="1"/>
  <c r="P14" i="4"/>
  <c r="Q14" i="4"/>
  <c r="R14" i="4"/>
  <c r="S14" i="4"/>
  <c r="T14" i="4"/>
  <c r="B14" i="4"/>
  <c r="C8" i="4"/>
  <c r="D8" i="4"/>
  <c r="E8" i="4"/>
  <c r="F8" i="4"/>
  <c r="G8" i="4"/>
  <c r="H8" i="4"/>
  <c r="I8" i="4"/>
  <c r="P8" i="4"/>
  <c r="Q8" i="4"/>
  <c r="R8" i="4"/>
  <c r="S8" i="4"/>
  <c r="T8" i="4"/>
  <c r="B8" i="4"/>
  <c r="L4" i="2"/>
  <c r="M4" i="2"/>
  <c r="N4" i="2"/>
  <c r="O4" i="2"/>
  <c r="O16" i="2" s="1"/>
  <c r="P4" i="2"/>
  <c r="Q4" i="2"/>
  <c r="R4" i="2"/>
  <c r="S4" i="2"/>
  <c r="T4" i="2"/>
  <c r="L8" i="2"/>
  <c r="L16" i="2" s="1"/>
  <c r="M8" i="2"/>
  <c r="M16" i="2" s="1"/>
  <c r="N8" i="2"/>
  <c r="O8" i="2"/>
  <c r="P8" i="2"/>
  <c r="P16" i="2" s="1"/>
  <c r="Q8" i="2"/>
  <c r="Q16" i="2" s="1"/>
  <c r="R8" i="2"/>
  <c r="R16" i="2" s="1"/>
  <c r="S8" i="2"/>
  <c r="T8" i="2"/>
  <c r="J8" i="2"/>
  <c r="E8" i="2"/>
  <c r="F8" i="2"/>
  <c r="G8" i="2"/>
  <c r="H8" i="2"/>
  <c r="I8" i="2"/>
  <c r="K8" i="2"/>
  <c r="H4" i="2"/>
  <c r="I4" i="2"/>
  <c r="J4" i="2"/>
  <c r="K4" i="2"/>
  <c r="G4" i="2"/>
  <c r="G16" i="2" s="1"/>
  <c r="F4" i="2"/>
  <c r="F16" i="2" s="1"/>
  <c r="D8" i="2"/>
  <c r="E4" i="2"/>
  <c r="D4" i="2"/>
  <c r="C9" i="2"/>
  <c r="C17" i="2" s="1"/>
  <c r="B9" i="2"/>
  <c r="B17" i="2" s="1"/>
  <c r="O27" i="4" l="1"/>
  <c r="S16" i="2"/>
  <c r="K16" i="2"/>
  <c r="I16" i="2"/>
  <c r="D16" i="2"/>
  <c r="E16" i="2"/>
  <c r="M26" i="4"/>
  <c r="M27" i="4" s="1"/>
  <c r="K26" i="4"/>
  <c r="K27" i="4" s="1"/>
  <c r="L26" i="4"/>
  <c r="L27" i="4" s="1"/>
  <c r="N26" i="4"/>
  <c r="J26" i="4"/>
  <c r="R26" i="4"/>
  <c r="R27" i="4" s="1"/>
  <c r="F26" i="4"/>
  <c r="F27" i="4" s="1"/>
  <c r="Q26" i="4"/>
  <c r="Q27" i="4" s="1"/>
  <c r="I26" i="4"/>
  <c r="E26" i="4"/>
  <c r="T26" i="4"/>
  <c r="P26" i="4"/>
  <c r="P27" i="4" s="1"/>
  <c r="H26" i="4"/>
  <c r="D26" i="4"/>
  <c r="S26" i="4"/>
  <c r="S27" i="4" s="1"/>
  <c r="G26" i="4"/>
  <c r="G27" i="4" s="1"/>
  <c r="T16" i="2"/>
  <c r="N16" i="2"/>
  <c r="N27" i="4" s="1"/>
  <c r="B8" i="2"/>
  <c r="J16" i="2"/>
  <c r="H16" i="2"/>
  <c r="C8" i="2"/>
  <c r="I27" i="4" l="1"/>
  <c r="J27" i="4"/>
  <c r="H27" i="4"/>
  <c r="T27" i="4"/>
  <c r="D27" i="4"/>
  <c r="E27" i="4"/>
  <c r="A10" i="10" l="1"/>
  <c r="A12" i="10"/>
  <c r="A11" i="10"/>
</calcChain>
</file>

<file path=xl/sharedStrings.xml><?xml version="1.0" encoding="utf-8"?>
<sst xmlns="http://schemas.openxmlformats.org/spreadsheetml/2006/main" count="295" uniqueCount="152">
  <si>
    <t>Firm Obligations</t>
  </si>
  <si>
    <t>BP-10</t>
  </si>
  <si>
    <t>BP-12</t>
  </si>
  <si>
    <t>BP-14</t>
  </si>
  <si>
    <t xml:space="preserve"> BP-16</t>
  </si>
  <si>
    <t>BP-18</t>
  </si>
  <si>
    <t>2017 whitebook</t>
  </si>
  <si>
    <t xml:space="preserve">Energy (aMW) </t>
  </si>
  <si>
    <t xml:space="preserve">1. Non-Utility Obligations Total </t>
  </si>
  <si>
    <t>missing</t>
  </si>
  <si>
    <t xml:space="preserve">2. Fed. Agencies </t>
  </si>
  <si>
    <t xml:space="preserve">3. USBR Obligation </t>
  </si>
  <si>
    <t>4. DSI Obligation</t>
  </si>
  <si>
    <t>5. Transfers Out Total</t>
  </si>
  <si>
    <t>6. Load-Following</t>
  </si>
  <si>
    <t xml:space="preserve">7. Tier 1 Block </t>
  </si>
  <si>
    <t>8. Slice Block</t>
  </si>
  <si>
    <t>9. Slice Output from Tier 1 System</t>
  </si>
  <si>
    <t>10. Exports/Canadian Entitlement</t>
  </si>
  <si>
    <t xml:space="preserve">11. Intra-Regional Transfers (Out) </t>
  </si>
  <si>
    <t xml:space="preserve">12. Federal Diversity/Firm Surplus </t>
  </si>
  <si>
    <t>13. Total Firm Obligations (Line 1 + line 5)</t>
  </si>
  <si>
    <t>14. Total Preference Load Obligations (2+6-9)</t>
  </si>
  <si>
    <t>15. Total Export/Transfer Contract obligations</t>
  </si>
  <si>
    <t>Net Resources</t>
  </si>
  <si>
    <t>P-10</t>
  </si>
  <si>
    <t>L&amp;R-13</t>
  </si>
  <si>
    <t>RAM2018</t>
  </si>
  <si>
    <t>1. Net Hydro</t>
  </si>
  <si>
    <t>2. Regulated Hydro - Net</t>
  </si>
  <si>
    <t>3. Independent Hydro - Net</t>
  </si>
  <si>
    <t>4. Small Hydro - Net</t>
  </si>
  <si>
    <t>5. Other Resources</t>
  </si>
  <si>
    <t>6. Cogeneration Resources</t>
  </si>
  <si>
    <t>7. Combustion Turbines</t>
  </si>
  <si>
    <t>8. Large Thermal Resources</t>
  </si>
  <si>
    <t>9. Renewable Resources</t>
  </si>
  <si>
    <t>10. Small Thermal &amp; Misc.</t>
  </si>
  <si>
    <t>11. Contract Purchases</t>
  </si>
  <si>
    <t>12. Imports</t>
  </si>
  <si>
    <t>13. Intra-Regional Transfers (In)</t>
  </si>
  <si>
    <t>14. Non-Federal CER</t>
  </si>
  <si>
    <t>15. Slice Transmission Loss Return</t>
  </si>
  <si>
    <t>16. Augmentation Purchases</t>
  </si>
  <si>
    <t>17. Reserves &amp; Losses</t>
  </si>
  <si>
    <t>18. Contingency Reserves (Spinning)</t>
  </si>
  <si>
    <t>19. Contingency Reserves (Non-spinning)</t>
  </si>
  <si>
    <t>20. Load Fllowing Reserves</t>
  </si>
  <si>
    <t>21. Generation Imbalance Reserves</t>
  </si>
  <si>
    <t>22. Transmission Losses</t>
  </si>
  <si>
    <t>23.Total Net Resources</t>
  </si>
  <si>
    <t>24. Total Surplus/Deficit</t>
  </si>
  <si>
    <t xml:space="preserve">MONTH 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</si>
  <si>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</si>
  <si>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</si>
  <si>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</si>
  <si>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</si>
  <si>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</si>
  <si>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</si>
  <si>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</si>
  <si>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</si>
  <si>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</si>
  <si>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</si>
  <si>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</si>
  <si>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</si>
  <si>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</si>
  <si>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</si>
  <si>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</si>
  <si>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</si>
  <si>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</si>
  <si>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</si>
  <si>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</si>
  <si>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</si>
  <si>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</si>
  <si>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</si>
  <si>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</si>
  <si>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 xml:space="preserve">HLH17 </t>
  </si>
  <si>
    <t>HLH18</t>
  </si>
  <si>
    <t>LLH17</t>
  </si>
  <si>
    <t>LLH18</t>
  </si>
  <si>
    <t>NOB</t>
  </si>
  <si>
    <t xml:space="preserve">Total adjusted Cost ($000) </t>
  </si>
  <si>
    <t>AVERAGE</t>
  </si>
  <si>
    <t>RAM2014</t>
  </si>
  <si>
    <t>RAM2016</t>
  </si>
  <si>
    <t>Source</t>
  </si>
  <si>
    <t>MONTH</t>
  </si>
  <si>
    <t>2012-2013</t>
  </si>
  <si>
    <t>2014-2015</t>
  </si>
  <si>
    <t>2016-2017</t>
  </si>
  <si>
    <t>2018-2019</t>
  </si>
  <si>
    <t>Priority Firm Power (PF) Tier 1 Equivalent Rates</t>
  </si>
  <si>
    <t>HLH</t>
  </si>
  <si>
    <t>LLH</t>
  </si>
  <si>
    <t>from final power schedule BPA documentation</t>
  </si>
  <si>
    <t>Industrial Firm Rates</t>
  </si>
  <si>
    <t>Validation</t>
  </si>
  <si>
    <t>Values</t>
  </si>
  <si>
    <t>type</t>
  </si>
  <si>
    <t>year</t>
  </si>
  <si>
    <t>historical</t>
  </si>
  <si>
    <t xml:space="preserve">Gross Power Sales ($K) from Annual Reports </t>
  </si>
  <si>
    <t>bookouts</t>
  </si>
  <si>
    <t xml:space="preserve">Simulated Gross Power Sales ($K) </t>
  </si>
  <si>
    <t>Simulated with adj transmission availability</t>
  </si>
  <si>
    <t>simulated</t>
  </si>
  <si>
    <t>Historical</t>
  </si>
  <si>
    <t>Simulated</t>
  </si>
  <si>
    <t>OPEX + INTEREST COSTS</t>
  </si>
  <si>
    <t>Purchased power costs</t>
  </si>
  <si>
    <t>Variable Costs (OPEX)</t>
  </si>
  <si>
    <t xml:space="preserve">Interest </t>
  </si>
  <si>
    <t>Treasury Repayment</t>
  </si>
  <si>
    <t>Nonfederal debt repayment</t>
  </si>
  <si>
    <t>-</t>
  </si>
  <si>
    <t>Year</t>
  </si>
  <si>
    <t>Reported Net Rev</t>
  </si>
  <si>
    <t>https://www.bpa.gov/energy-and-services/rate-and-tariff-proceedings/power-rates</t>
  </si>
  <si>
    <t>2020-2021</t>
  </si>
  <si>
    <t>"Priority Firm Power (PF) Tier 1 Equivalent Rates"</t>
  </si>
  <si>
    <t>No 2019-2020 document available</t>
  </si>
  <si>
    <t>2022-2023</t>
  </si>
  <si>
    <t xml:space="preserve">"Industrial Firm Rates" </t>
  </si>
  <si>
    <t>Source: Annual Report, Net Operating Revenues</t>
  </si>
  <si>
    <t>RAM2020</t>
  </si>
  <si>
    <t xml:space="preserve"> </t>
  </si>
  <si>
    <t>Source: RevSim model, "Available Transmission Reserves", DB_Inputs</t>
  </si>
  <si>
    <t>EXAMPLE: 2018 Available Transmission Reserves -- take average</t>
  </si>
  <si>
    <t>BC Hydro</t>
  </si>
  <si>
    <t xml:space="preserve">Summary tab, restatement total and Direct Service Industry Sales </t>
  </si>
  <si>
    <t>DSI sales</t>
  </si>
  <si>
    <t xml:space="preserve">restatement total </t>
  </si>
  <si>
    <t>total adj cost</t>
  </si>
  <si>
    <t>RAM2022</t>
  </si>
  <si>
    <t>starting_ba</t>
  </si>
  <si>
    <t>start_res</t>
  </si>
  <si>
    <t>Sources:</t>
  </si>
  <si>
    <t xml:space="preserve">Annual Reports (ending BA for fiscal year) </t>
  </si>
  <si>
    <t>Q4 Technical Workshop Materials (EOY PS reserves for risk)</t>
  </si>
  <si>
    <t>$$ MILLION</t>
  </si>
  <si>
    <t>$$ BILLION</t>
  </si>
  <si>
    <t>addition</t>
  </si>
  <si>
    <t>limit</t>
  </si>
  <si>
    <t>CRAC</t>
  </si>
  <si>
    <t xml:space="preserve">**CRAC surcharge: % in year (so triggered in previous year) </t>
  </si>
  <si>
    <t>Y</t>
  </si>
  <si>
    <t>n</t>
  </si>
  <si>
    <t>interest_earn</t>
  </si>
  <si>
    <t>PERCENT</t>
  </si>
  <si>
    <t xml:space="preserve">Power and Risk Transmission Studies (reserves for risk, interest on reserves) </t>
  </si>
  <si>
    <t>SOURCE: ANNUAL REPORTS</t>
  </si>
  <si>
    <t>60 Days 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</si>
</sst>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_(* #,##0.00_);\(* #,##0.00\);_(* &quot;-&quot;??_);_(@_)"/>
    <numFmt numFmtId="167" formatCode="#,##0.0_)\x;\(#,##0.0\)\x;0.0_)\x;@_)_x"/>
    <numFmt numFmtId="168" formatCode="#,##0.0_);\(#,##0.0\);#,##0.0_);@_)"/>
    <numFmt numFmtId="169" formatCode="&quot;$&quot;_(#,##0.00_);&quot;$&quot;\(#,##0.00\);&quot;$&quot;_(0.00_);@_)"/>
    <numFmt numFmtId="170" formatCode="#,##0.00_);\(#,##0.00\);0.00_);@_)"/>
    <numFmt numFmtId="171" formatCode="\€_(#,##0.00_);\€\(#,##0.00\);\€_(0.00_);@_)"/>
    <numFmt numFmtId="172" formatCode="0.0_)\%;\(0.0\)\%;0.0_)\%;@_)_%"/>
    <numFmt numFmtId="173" formatCode="#,##0.0_)_%;\(#,##0.0\)_%;0.0_)_%;@_)_%"/>
    <numFmt numFmtId="174" formatCode="#,##0.0_)_x;\(#,##0.0\)_x;0.0_)_x;@_)_x"/>
    <numFmt numFmtId="175" formatCode="0.000%;;"/>
    <numFmt numFmtId="176" formatCode="&quot;$&quot;#,##0.0;[Red]\-&quot;$&quot;#,##0.0"/>
    <numFmt numFmtId="177" formatCode="_([$€-2]* #,##0.00_);_([$€-2]* \(#,##0.00\);_([$€-2]* &quot;-&quot;??_)"/>
    <numFmt numFmtId="178" formatCode="_-* #,##0.0_-;\-* #,##0.0_-;_-* &quot;-&quot;??_-;_-@_-"/>
    <numFmt numFmtId="179" formatCode="#,##0.00&quot; $&quot;;\-#,##0.00&quot; $&quot;"/>
    <numFmt numFmtId="180" formatCode="#,##0.0000\ ;[Red]\(#,##0.0000\)"/>
    <numFmt numFmtId="181" formatCode="mmm\-yyyy"/>
    <numFmt numFmtId="182" formatCode="0.0%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color indexed="18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Times New Roman"/>
      <family val="1"/>
    </font>
    <font>
      <b/>
      <sz val="14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0"/>
      <color rgb="FFC00000"/>
      <name val="Gill Sans MT"/>
      <family val="2"/>
    </font>
    <font>
      <u/>
      <sz val="11"/>
      <color theme="10"/>
      <name val="Calibri"/>
      <family val="2"/>
      <scheme val="minor"/>
    </font>
    <font>
      <b/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u/>
      <sz val="7.5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17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0"/>
      <color indexed="16"/>
      <name val="Helvetica-Black"/>
    </font>
    <font>
      <sz val="8"/>
      <color indexed="8"/>
      <name val="Times New Roman"/>
      <family val="1"/>
    </font>
    <font>
      <b/>
      <i/>
      <sz val="10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2"/>
      <name val="Helv"/>
    </font>
    <font>
      <sz val="11"/>
      <name val="??"/>
      <family val="3"/>
      <charset val="129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9"/>
      <color indexed="2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57">
    <border>
      <left/>
      <right/>
      <top/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dotted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0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  <xf numFmtId="44" fontId="7" fillId="0" borderId="0" applyFont="0" applyFill="0" applyBorder="0" applyAlignment="0" applyProtection="0"/>
    <xf numFmtId="0" fontId="6" fillId="2" borderId="21" applyFont="0" applyBorder="0"/>
    <xf numFmtId="0" fontId="4" fillId="0" borderId="0"/>
    <xf numFmtId="0" fontId="1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8" borderId="0" applyNumberFormat="0" applyBorder="0" applyAlignment="0" applyProtection="0"/>
    <xf numFmtId="0" fontId="31" fillId="12" borderId="0" applyNumberFormat="0" applyBorder="0" applyAlignment="0" applyProtection="0"/>
    <xf numFmtId="0" fontId="32" fillId="29" borderId="2" applyNumberFormat="0" applyAlignment="0" applyProtection="0"/>
    <xf numFmtId="0" fontId="33" fillId="30" borderId="41" applyNumberFormat="0" applyAlignment="0" applyProtection="0"/>
    <xf numFmtId="43" fontId="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13" borderId="0" applyNumberFormat="0" applyBorder="0" applyAlignment="0" applyProtection="0"/>
    <xf numFmtId="0" fontId="36" fillId="0" borderId="42" applyNumberFormat="0" applyFill="0" applyAlignment="0" applyProtection="0"/>
    <xf numFmtId="0" fontId="37" fillId="0" borderId="43" applyNumberFormat="0" applyFill="0" applyAlignment="0" applyProtection="0"/>
    <xf numFmtId="0" fontId="38" fillId="0" borderId="44" applyNumberFormat="0" applyFill="0" applyAlignment="0" applyProtection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9" fillId="16" borderId="2" applyNumberFormat="0" applyAlignment="0" applyProtection="0"/>
    <xf numFmtId="0" fontId="40" fillId="0" borderId="45" applyNumberFormat="0" applyFill="0" applyAlignment="0" applyProtection="0"/>
    <xf numFmtId="0" fontId="41" fillId="31" borderId="0" applyNumberFormat="0" applyBorder="0" applyAlignment="0" applyProtection="0"/>
    <xf numFmtId="0" fontId="4" fillId="32" borderId="46" applyNumberFormat="0" applyFont="0" applyAlignment="0" applyProtection="0"/>
    <xf numFmtId="0" fontId="42" fillId="29" borderId="47" applyNumberFormat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0">
      <alignment horizontal="center"/>
    </xf>
    <xf numFmtId="3" fontId="21" fillId="0" borderId="0" applyFont="0" applyFill="0" applyBorder="0" applyAlignment="0" applyProtection="0"/>
    <xf numFmtId="0" fontId="21" fillId="33" borderId="0" applyNumberFormat="0" applyFont="0" applyBorder="0" applyAlignment="0" applyProtection="0"/>
    <xf numFmtId="0" fontId="43" fillId="0" borderId="0" applyNumberFormat="0" applyFill="0" applyBorder="0" applyAlignment="0" applyProtection="0"/>
    <xf numFmtId="0" fontId="44" fillId="0" borderId="48" applyNumberFormat="0" applyFill="0" applyAlignment="0" applyProtection="0"/>
    <xf numFmtId="0" fontId="45" fillId="0" borderId="0" applyNumberForma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38" fontId="25" fillId="31" borderId="0" applyNumberFormat="0" applyFont="0" applyAlignment="0" applyProtection="0"/>
    <xf numFmtId="38" fontId="25" fillId="31" borderId="0" applyNumberFormat="0" applyFont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4" fontId="25" fillId="0" borderId="0" applyFont="0" applyFill="0" applyBorder="0" applyProtection="0">
      <alignment horizontal="right"/>
    </xf>
    <xf numFmtId="174" fontId="25" fillId="0" borderId="0" applyFont="0" applyFill="0" applyBorder="0" applyProtection="0">
      <alignment horizontal="right"/>
    </xf>
    <xf numFmtId="0" fontId="48" fillId="0" borderId="0" applyNumberFormat="0" applyFill="0" applyBorder="0" applyProtection="0">
      <alignment vertical="top"/>
    </xf>
    <xf numFmtId="38" fontId="24" fillId="0" borderId="51" applyNumberFormat="0" applyFill="0" applyAlignment="0" applyProtection="0"/>
    <xf numFmtId="38" fontId="49" fillId="0" borderId="52" applyNumberFormat="0" applyFill="0" applyProtection="0">
      <alignment horizontal="center"/>
    </xf>
    <xf numFmtId="38" fontId="49" fillId="0" borderId="0" applyNumberFormat="0" applyFill="0" applyBorder="0" applyProtection="0">
      <alignment horizontal="left"/>
    </xf>
    <xf numFmtId="38" fontId="50" fillId="0" borderId="0" applyNumberFormat="0" applyFill="0" applyBorder="0" applyProtection="0">
      <alignment horizontal="centerContinuous"/>
    </xf>
    <xf numFmtId="0" fontId="51" fillId="11" borderId="0" applyNumberFormat="0" applyBorder="0" applyAlignment="0" applyProtection="0"/>
    <xf numFmtId="0" fontId="1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1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19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1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1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1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1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1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4" borderId="0" applyNumberFormat="0" applyBorder="0" applyAlignment="0" applyProtection="0"/>
    <xf numFmtId="0" fontId="1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7" borderId="0" applyNumberFormat="0" applyBorder="0" applyAlignment="0" applyProtection="0"/>
    <xf numFmtId="0" fontId="1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20" borderId="0" applyNumberFormat="0" applyBorder="0" applyAlignment="0" applyProtection="0"/>
    <xf numFmtId="0" fontId="19" fillId="20" borderId="0" applyNumberFormat="0" applyBorder="0" applyAlignment="0" applyProtection="0"/>
    <xf numFmtId="0" fontId="51" fillId="20" borderId="0" applyNumberFormat="0" applyBorder="0" applyAlignment="0" applyProtection="0"/>
    <xf numFmtId="0" fontId="52" fillId="21" borderId="0" applyNumberFormat="0" applyBorder="0" applyAlignment="0" applyProtection="0"/>
    <xf numFmtId="0" fontId="28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18" borderId="0" applyNumberFormat="0" applyBorder="0" applyAlignment="0" applyProtection="0"/>
    <xf numFmtId="0" fontId="28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28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22" borderId="0" applyNumberFormat="0" applyBorder="0" applyAlignment="0" applyProtection="0"/>
    <xf numFmtId="0" fontId="28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28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28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28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28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28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2" borderId="0" applyNumberFormat="0" applyBorder="0" applyAlignment="0" applyProtection="0"/>
    <xf numFmtId="0" fontId="28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28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8" borderId="0" applyNumberFormat="0" applyBorder="0" applyAlignment="0" applyProtection="0"/>
    <xf numFmtId="0" fontId="28" fillId="28" borderId="0" applyNumberFormat="0" applyBorder="0" applyAlignment="0" applyProtection="0"/>
    <xf numFmtId="0" fontId="52" fillId="28" borderId="0" applyNumberFormat="0" applyBorder="0" applyAlignment="0" applyProtection="0"/>
    <xf numFmtId="0" fontId="20" fillId="0" borderId="0" applyNumberFormat="0" applyFill="0" applyBorder="0" applyAlignment="0">
      <protection locked="0"/>
    </xf>
    <xf numFmtId="0" fontId="53" fillId="12" borderId="0" applyNumberFormat="0" applyBorder="0" applyAlignment="0" applyProtection="0"/>
    <xf numFmtId="0" fontId="54" fillId="12" borderId="0" applyNumberFormat="0" applyBorder="0" applyAlignment="0" applyProtection="0"/>
    <xf numFmtId="0" fontId="53" fillId="12" borderId="0" applyNumberFormat="0" applyBorder="0" applyAlignment="0" applyProtection="0"/>
    <xf numFmtId="0" fontId="55" fillId="29" borderId="2" applyNumberFormat="0" applyAlignment="0" applyProtection="0"/>
    <xf numFmtId="0" fontId="56" fillId="29" borderId="2" applyNumberFormat="0" applyAlignment="0" applyProtection="0"/>
    <xf numFmtId="0" fontId="55" fillId="29" borderId="2" applyNumberFormat="0" applyAlignment="0" applyProtection="0"/>
    <xf numFmtId="0" fontId="57" fillId="30" borderId="41" applyNumberFormat="0" applyAlignment="0" applyProtection="0"/>
    <xf numFmtId="0" fontId="27" fillId="30" borderId="41" applyNumberFormat="0" applyAlignment="0" applyProtection="0"/>
    <xf numFmtId="0" fontId="57" fillId="30" borderId="41" applyNumberFormat="0" applyAlignment="0" applyProtection="0"/>
    <xf numFmtId="0" fontId="58" fillId="0" borderId="0" applyFont="0" applyFill="0" applyBorder="0" applyAlignment="0" applyProtection="0">
      <alignment horizontal="right"/>
    </xf>
    <xf numFmtId="0" fontId="58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Font="0" applyFill="0" applyBorder="0" applyAlignment="0" applyProtection="0">
      <alignment horizontal="right"/>
    </xf>
    <xf numFmtId="0" fontId="58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14" fontId="25" fillId="0" borderId="0" applyFont="0" applyFill="0" applyBorder="0" applyAlignment="0" applyProtection="0"/>
    <xf numFmtId="14" fontId="25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53" applyNumberFormat="0" applyFon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6" fillId="0" borderId="0" applyFill="0" applyBorder="0" applyProtection="0">
      <alignment horizontal="left"/>
    </xf>
    <xf numFmtId="0" fontId="61" fillId="13" borderId="0" applyNumberFormat="0" applyBorder="0" applyAlignment="0" applyProtection="0"/>
    <xf numFmtId="0" fontId="23" fillId="13" borderId="0" applyNumberFormat="0" applyBorder="0" applyAlignment="0" applyProtection="0"/>
    <xf numFmtId="0" fontId="61" fillId="13" borderId="0" applyNumberFormat="0" applyBorder="0" applyAlignment="0" applyProtection="0"/>
    <xf numFmtId="0" fontId="58" fillId="0" borderId="0" applyFont="0" applyFill="0" applyBorder="0" applyAlignment="0" applyProtection="0">
      <alignment horizontal="right"/>
    </xf>
    <xf numFmtId="0" fontId="62" fillId="0" borderId="0" applyProtection="0">
      <alignment horizontal="right"/>
    </xf>
    <xf numFmtId="0" fontId="63" fillId="0" borderId="42" applyNumberFormat="0" applyFill="0" applyAlignment="0" applyProtection="0"/>
    <xf numFmtId="0" fontId="36" fillId="0" borderId="42" applyNumberFormat="0" applyFill="0" applyAlignment="0" applyProtection="0"/>
    <xf numFmtId="0" fontId="63" fillId="0" borderId="42" applyNumberFormat="0" applyFill="0" applyAlignment="0" applyProtection="0"/>
    <xf numFmtId="0" fontId="64" fillId="0" borderId="43" applyNumberFormat="0" applyFill="0" applyAlignment="0" applyProtection="0"/>
    <xf numFmtId="0" fontId="37" fillId="0" borderId="43" applyNumberFormat="0" applyFill="0" applyAlignment="0" applyProtection="0"/>
    <xf numFmtId="0" fontId="64" fillId="0" borderId="43" applyNumberFormat="0" applyFill="0" applyAlignment="0" applyProtection="0"/>
    <xf numFmtId="0" fontId="65" fillId="0" borderId="44" applyNumberFormat="0" applyFill="0" applyAlignment="0" applyProtection="0"/>
    <xf numFmtId="0" fontId="38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6" fillId="16" borderId="2" applyNumberFormat="0" applyAlignment="0" applyProtection="0"/>
    <xf numFmtId="0" fontId="67" fillId="16" borderId="2" applyNumberFormat="0" applyAlignment="0" applyProtection="0"/>
    <xf numFmtId="0" fontId="66" fillId="16" borderId="2" applyNumberFormat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58" fillId="0" borderId="0" applyFont="0" applyFill="0" applyBorder="0" applyAlignment="0" applyProtection="0">
      <alignment horizontal="right"/>
    </xf>
    <xf numFmtId="0" fontId="70" fillId="31" borderId="0" applyNumberFormat="0" applyBorder="0" applyAlignment="0" applyProtection="0"/>
    <xf numFmtId="0" fontId="71" fillId="31" borderId="0" applyNumberFormat="0" applyBorder="0" applyAlignment="0" applyProtection="0"/>
    <xf numFmtId="0" fontId="70" fillId="31" borderId="0" applyNumberFormat="0" applyBorder="0" applyAlignment="0" applyProtection="0"/>
    <xf numFmtId="0" fontId="4" fillId="0" borderId="0"/>
    <xf numFmtId="0" fontId="4" fillId="0" borderId="0"/>
    <xf numFmtId="0" fontId="4" fillId="32" borderId="46" applyNumberFormat="0" applyFont="0" applyAlignment="0" applyProtection="0"/>
    <xf numFmtId="0" fontId="4" fillId="32" borderId="46" applyNumberFormat="0" applyFont="0" applyAlignment="0" applyProtection="0"/>
    <xf numFmtId="0" fontId="4" fillId="32" borderId="46" applyNumberFormat="0" applyFont="0" applyAlignment="0" applyProtection="0"/>
    <xf numFmtId="0" fontId="4" fillId="32" borderId="46" applyNumberFormat="0" applyFont="0" applyAlignment="0" applyProtection="0"/>
    <xf numFmtId="0" fontId="72" fillId="29" borderId="47" applyNumberFormat="0" applyAlignment="0" applyProtection="0"/>
    <xf numFmtId="0" fontId="73" fillId="29" borderId="47" applyNumberFormat="0" applyAlignment="0" applyProtection="0"/>
    <xf numFmtId="0" fontId="72" fillId="29" borderId="47" applyNumberFormat="0" applyAlignment="0" applyProtection="0"/>
    <xf numFmtId="1" fontId="74" fillId="0" borderId="0" applyProtection="0">
      <alignment horizontal="right" vertical="center"/>
    </xf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0" fontId="21" fillId="0" borderId="0" applyNumberFormat="0" applyFont="0" applyFill="0" applyBorder="0" applyAlignment="0" applyProtection="0">
      <alignment horizontal="left"/>
    </xf>
    <xf numFmtId="0" fontId="21" fillId="0" borderId="0" applyNumberFormat="0" applyFont="0" applyFill="0" applyBorder="0" applyAlignment="0" applyProtection="0">
      <alignment horizontal="left"/>
    </xf>
    <xf numFmtId="0" fontId="21" fillId="0" borderId="0" applyNumberFormat="0" applyFont="0" applyFill="0" applyBorder="0" applyAlignment="0" applyProtection="0">
      <alignment horizontal="left"/>
    </xf>
    <xf numFmtId="0" fontId="21" fillId="0" borderId="0" applyNumberFormat="0" applyFont="0" applyFill="0" applyBorder="0" applyAlignment="0" applyProtection="0">
      <alignment horizontal="left"/>
    </xf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15" fontId="21" fillId="0" borderId="0" applyFont="0" applyFill="0" applyBorder="0" applyAlignment="0" applyProtection="0"/>
    <xf numFmtId="15" fontId="21" fillId="0" borderId="0" applyFont="0" applyFill="0" applyBorder="0" applyAlignment="0" applyProtection="0"/>
    <xf numFmtId="15" fontId="21" fillId="0" borderId="0" applyFont="0" applyFill="0" applyBorder="0" applyAlignment="0" applyProtection="0"/>
    <xf numFmtId="15" fontId="21" fillId="0" borderId="0" applyFont="0" applyFill="0" applyBorder="0" applyAlignment="0" applyProtection="0"/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0" fontId="22" fillId="0" borderId="10">
      <alignment horizontal="center"/>
    </xf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21" fillId="33" borderId="0" applyNumberFormat="0" applyFont="0" applyBorder="0" applyAlignment="0" applyProtection="0"/>
    <xf numFmtId="0" fontId="21" fillId="33" borderId="0" applyNumberFormat="0" applyFont="0" applyBorder="0" applyAlignment="0" applyProtection="0"/>
    <xf numFmtId="0" fontId="21" fillId="33" borderId="0" applyNumberFormat="0" applyFont="0" applyBorder="0" applyAlignment="0" applyProtection="0"/>
    <xf numFmtId="0" fontId="21" fillId="33" borderId="0" applyNumberFormat="0" applyFont="0" applyBorder="0" applyAlignment="0" applyProtection="0"/>
    <xf numFmtId="0" fontId="21" fillId="33" borderId="0" applyNumberFormat="0" applyFont="0" applyBorder="0" applyAlignment="0" applyProtection="0"/>
    <xf numFmtId="0" fontId="21" fillId="33" borderId="0" applyNumberFormat="0" applyFont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175" fontId="26" fillId="0" borderId="50" applyFont="0" applyFill="0" applyBorder="0" applyAlignment="0" applyProtection="0"/>
    <xf numFmtId="0" fontId="75" fillId="0" borderId="0" applyNumberFormat="0" applyFill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6" fillId="37" borderId="0" applyNumberFormat="0" applyFont="0" applyBorder="0" applyAlignment="0" applyProtection="0"/>
    <xf numFmtId="0" fontId="77" fillId="0" borderId="0" applyBorder="0" applyProtection="0">
      <alignment vertical="center"/>
    </xf>
    <xf numFmtId="0" fontId="77" fillId="0" borderId="49" applyBorder="0" applyProtection="0">
      <alignment horizontal="right" vertical="center"/>
    </xf>
    <xf numFmtId="0" fontId="78" fillId="39" borderId="0" applyBorder="0" applyProtection="0">
      <alignment horizontal="centerContinuous" vertical="center"/>
    </xf>
    <xf numFmtId="0" fontId="78" fillId="38" borderId="49" applyBorder="0" applyProtection="0">
      <alignment horizontal="centerContinuous" vertical="center"/>
    </xf>
    <xf numFmtId="0" fontId="79" fillId="0" borderId="0" applyBorder="0" applyProtection="0">
      <alignment horizontal="left"/>
    </xf>
    <xf numFmtId="0" fontId="79" fillId="0" borderId="0" applyBorder="0" applyProtection="0">
      <alignment horizontal="left"/>
    </xf>
    <xf numFmtId="0" fontId="46" fillId="0" borderId="0" applyFill="0" applyBorder="0" applyProtection="0">
      <alignment horizontal="left"/>
    </xf>
    <xf numFmtId="0" fontId="25" fillId="0" borderId="50" applyFill="0" applyBorder="0" applyProtection="0">
      <alignment horizontal="left" vertical="top"/>
    </xf>
    <xf numFmtId="0" fontId="25" fillId="0" borderId="50" applyFill="0" applyBorder="0" applyProtection="0">
      <alignment horizontal="left" vertical="top"/>
    </xf>
    <xf numFmtId="0" fontId="43" fillId="0" borderId="0" applyNumberFormat="0" applyFill="0" applyBorder="0" applyAlignment="0" applyProtection="0"/>
    <xf numFmtId="0" fontId="80" fillId="0" borderId="48" applyNumberFormat="0" applyFill="0" applyAlignment="0" applyProtection="0"/>
    <xf numFmtId="0" fontId="17" fillId="0" borderId="48" applyNumberFormat="0" applyFill="0" applyAlignment="0" applyProtection="0"/>
    <xf numFmtId="0" fontId="80" fillId="0" borderId="48" applyNumberFormat="0" applyFill="0" applyAlignment="0" applyProtection="0"/>
    <xf numFmtId="0" fontId="8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4" fillId="32" borderId="46" applyNumberFormat="0" applyFont="0" applyAlignment="0" applyProtection="0"/>
    <xf numFmtId="9" fontId="4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4" fillId="32" borderId="46" applyNumberFormat="0" applyFont="0" applyAlignment="0" applyProtection="0"/>
    <xf numFmtId="9" fontId="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0">
      <alignment horizontal="center"/>
    </xf>
    <xf numFmtId="3" fontId="21" fillId="0" borderId="0" applyFont="0" applyFill="0" applyBorder="0" applyAlignment="0" applyProtection="0"/>
    <xf numFmtId="0" fontId="21" fillId="33" borderId="0" applyNumberFormat="0" applyFon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8" borderId="0" applyNumberFormat="0" applyBorder="0" applyAlignment="0" applyProtection="0"/>
    <xf numFmtId="176" fontId="3" fillId="35" borderId="54">
      <alignment horizontal="center" vertical="center"/>
    </xf>
    <xf numFmtId="0" fontId="31" fillId="12" borderId="0" applyNumberFormat="0" applyBorder="0" applyAlignment="0" applyProtection="0"/>
    <xf numFmtId="0" fontId="32" fillId="29" borderId="2" applyNumberFormat="0" applyAlignment="0" applyProtection="0"/>
    <xf numFmtId="0" fontId="33" fillId="30" borderId="41" applyNumberFormat="0" applyAlignment="0" applyProtection="0"/>
    <xf numFmtId="43" fontId="4" fillId="0" borderId="0" applyFont="0" applyFill="0" applyBorder="0" applyAlignment="0" applyProtection="0"/>
    <xf numFmtId="0" fontId="83" fillId="0" borderId="0"/>
    <xf numFmtId="44" fontId="4" fillId="0" borderId="0" applyFont="0" applyFill="0" applyBorder="0" applyAlignment="0" applyProtection="0"/>
    <xf numFmtId="6" fontId="84" fillId="0" borderId="0">
      <protection locked="0"/>
    </xf>
    <xf numFmtId="17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8" fontId="4" fillId="0" borderId="0">
      <protection locked="0"/>
    </xf>
    <xf numFmtId="178" fontId="4" fillId="0" borderId="0">
      <protection locked="0"/>
    </xf>
    <xf numFmtId="0" fontId="85" fillId="0" borderId="0"/>
    <xf numFmtId="0" fontId="35" fillId="13" borderId="0" applyNumberFormat="0" applyBorder="0" applyAlignment="0" applyProtection="0"/>
    <xf numFmtId="38" fontId="25" fillId="37" borderId="0" applyNumberFormat="0" applyBorder="0" applyAlignment="0" applyProtection="0"/>
    <xf numFmtId="0" fontId="86" fillId="0" borderId="0" applyNumberFormat="0" applyFill="0" applyBorder="0" applyAlignment="0" applyProtection="0"/>
    <xf numFmtId="179" fontId="4" fillId="0" borderId="0">
      <protection locked="0"/>
    </xf>
    <xf numFmtId="179" fontId="4" fillId="0" borderId="0">
      <protection locked="0"/>
    </xf>
    <xf numFmtId="179" fontId="4" fillId="0" borderId="0">
      <protection locked="0"/>
    </xf>
    <xf numFmtId="179" fontId="4" fillId="0" borderId="0">
      <protection locked="0"/>
    </xf>
    <xf numFmtId="0" fontId="20" fillId="0" borderId="55" applyNumberFormat="0" applyFill="0" applyAlignment="0" applyProtection="0"/>
    <xf numFmtId="10" fontId="25" fillId="36" borderId="11" applyNumberFormat="0" applyBorder="0" applyAlignment="0" applyProtection="0"/>
    <xf numFmtId="0" fontId="39" fillId="16" borderId="2" applyNumberFormat="0" applyAlignment="0" applyProtection="0"/>
    <xf numFmtId="0" fontId="40" fillId="0" borderId="45" applyNumberFormat="0" applyFill="0" applyAlignment="0" applyProtection="0"/>
    <xf numFmtId="0" fontId="41" fillId="31" borderId="0" applyNumberFormat="0" applyBorder="0" applyAlignment="0" applyProtection="0"/>
    <xf numFmtId="37" fontId="87" fillId="0" borderId="0"/>
    <xf numFmtId="180" fontId="3" fillId="0" borderId="0"/>
    <xf numFmtId="0" fontId="1" fillId="0" borderId="0"/>
    <xf numFmtId="0" fontId="1" fillId="0" borderId="0"/>
    <xf numFmtId="0" fontId="42" fillId="29" borderId="47" applyNumberForma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181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4" fillId="0" borderId="48" applyNumberFormat="0" applyFill="0" applyAlignment="0" applyProtection="0"/>
    <xf numFmtId="37" fontId="25" fillId="34" borderId="0" applyNumberFormat="0" applyBorder="0" applyAlignment="0" applyProtection="0"/>
    <xf numFmtId="37" fontId="25" fillId="0" borderId="0"/>
    <xf numFmtId="37" fontId="25" fillId="34" borderId="0" applyNumberFormat="0" applyBorder="0" applyAlignment="0" applyProtection="0"/>
    <xf numFmtId="3" fontId="88" fillId="0" borderId="55" applyProtection="0"/>
    <xf numFmtId="0" fontId="89" fillId="0" borderId="0">
      <alignment horizontal="center"/>
    </xf>
    <xf numFmtId="0" fontId="45" fillId="0" borderId="0" applyNumberFormat="0" applyFill="0" applyBorder="0" applyAlignment="0" applyProtection="0"/>
    <xf numFmtId="0" fontId="39" fillId="16" borderId="2" applyNumberFormat="0" applyAlignment="0" applyProtection="0"/>
    <xf numFmtId="9" fontId="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1" applyNumberFormat="1" applyFont="1"/>
    <xf numFmtId="0" fontId="5" fillId="0" borderId="1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6" fillId="0" borderId="0" xfId="0" applyFont="1"/>
    <xf numFmtId="0" fontId="8" fillId="0" borderId="0" xfId="0" applyFont="1"/>
    <xf numFmtId="0" fontId="0" fillId="0" borderId="12" xfId="0" applyBorder="1"/>
    <xf numFmtId="0" fontId="2" fillId="0" borderId="17" xfId="0" applyFont="1" applyBorder="1"/>
    <xf numFmtId="0" fontId="6" fillId="0" borderId="18" xfId="0" applyFont="1" applyBorder="1"/>
    <xf numFmtId="0" fontId="0" fillId="0" borderId="14" xfId="0" applyBorder="1"/>
    <xf numFmtId="0" fontId="0" fillId="0" borderId="17" xfId="0" applyBorder="1"/>
    <xf numFmtId="0" fontId="2" fillId="0" borderId="18" xfId="0" applyFont="1" applyBorder="1"/>
    <xf numFmtId="0" fontId="2" fillId="0" borderId="26" xfId="0" applyFont="1" applyBorder="1"/>
    <xf numFmtId="0" fontId="0" fillId="0" borderId="28" xfId="0" applyBorder="1"/>
    <xf numFmtId="0" fontId="9" fillId="3" borderId="21" xfId="0" applyFont="1" applyFill="1" applyBorder="1"/>
    <xf numFmtId="3" fontId="10" fillId="3" borderId="22" xfId="0" applyNumberFormat="1" applyFont="1" applyFill="1" applyBorder="1"/>
    <xf numFmtId="3" fontId="10" fillId="3" borderId="23" xfId="0" applyNumberFormat="1" applyFont="1" applyFill="1" applyBorder="1"/>
    <xf numFmtId="3" fontId="9" fillId="3" borderId="27" xfId="0" applyNumberFormat="1" applyFont="1" applyFill="1" applyBorder="1"/>
    <xf numFmtId="3" fontId="10" fillId="3" borderId="6" xfId="0" applyNumberFormat="1" applyFont="1" applyFill="1" applyBorder="1"/>
    <xf numFmtId="3" fontId="9" fillId="3" borderId="21" xfId="0" applyNumberFormat="1" applyFont="1" applyFill="1" applyBorder="1"/>
    <xf numFmtId="0" fontId="6" fillId="4" borderId="20" xfId="0" applyFont="1" applyFill="1" applyBorder="1"/>
    <xf numFmtId="0" fontId="6" fillId="5" borderId="20" xfId="0" applyFont="1" applyFill="1" applyBorder="1"/>
    <xf numFmtId="3" fontId="2" fillId="5" borderId="7" xfId="0" applyNumberFormat="1" applyFont="1" applyFill="1" applyBorder="1"/>
    <xf numFmtId="3" fontId="0" fillId="5" borderId="13" xfId="0" applyNumberFormat="1" applyFill="1" applyBorder="1"/>
    <xf numFmtId="3" fontId="0" fillId="5" borderId="16" xfId="0" applyNumberFormat="1" applyFill="1" applyBorder="1"/>
    <xf numFmtId="3" fontId="2" fillId="5" borderId="27" xfId="0" applyNumberFormat="1" applyFont="1" applyFill="1" applyBorder="1"/>
    <xf numFmtId="3" fontId="0" fillId="5" borderId="25" xfId="0" applyNumberFormat="1" applyFill="1" applyBorder="1"/>
    <xf numFmtId="3" fontId="2" fillId="5" borderId="24" xfId="0" applyNumberFormat="1" applyFont="1" applyFill="1" applyBorder="1"/>
    <xf numFmtId="0" fontId="6" fillId="6" borderId="20" xfId="0" applyFont="1" applyFill="1" applyBorder="1"/>
    <xf numFmtId="3" fontId="2" fillId="6" borderId="7" xfId="0" applyNumberFormat="1" applyFont="1" applyFill="1" applyBorder="1"/>
    <xf numFmtId="3" fontId="0" fillId="6" borderId="13" xfId="0" applyNumberFormat="1" applyFill="1" applyBorder="1"/>
    <xf numFmtId="3" fontId="0" fillId="6" borderId="16" xfId="0" applyNumberFormat="1" applyFill="1" applyBorder="1"/>
    <xf numFmtId="3" fontId="2" fillId="6" borderId="27" xfId="0" applyNumberFormat="1" applyFont="1" applyFill="1" applyBorder="1"/>
    <xf numFmtId="3" fontId="0" fillId="6" borderId="25" xfId="0" applyNumberFormat="1" applyFill="1" applyBorder="1"/>
    <xf numFmtId="3" fontId="2" fillId="6" borderId="24" xfId="0" applyNumberFormat="1" applyFont="1" applyFill="1" applyBorder="1"/>
    <xf numFmtId="3" fontId="2" fillId="6" borderId="21" xfId="0" applyNumberFormat="1" applyFont="1" applyFill="1" applyBorder="1"/>
    <xf numFmtId="0" fontId="6" fillId="7" borderId="20" xfId="0" applyFont="1" applyFill="1" applyBorder="1"/>
    <xf numFmtId="3" fontId="2" fillId="7" borderId="7" xfId="0" applyNumberFormat="1" applyFont="1" applyFill="1" applyBorder="1"/>
    <xf numFmtId="3" fontId="0" fillId="7" borderId="13" xfId="0" applyNumberFormat="1" applyFill="1" applyBorder="1"/>
    <xf numFmtId="3" fontId="0" fillId="7" borderId="16" xfId="0" applyNumberFormat="1" applyFill="1" applyBorder="1"/>
    <xf numFmtId="3" fontId="2" fillId="7" borderId="27" xfId="0" applyNumberFormat="1" applyFont="1" applyFill="1" applyBorder="1"/>
    <xf numFmtId="3" fontId="0" fillId="7" borderId="25" xfId="0" applyNumberFormat="1" applyFill="1" applyBorder="1"/>
    <xf numFmtId="3" fontId="2" fillId="7" borderId="24" xfId="0" applyNumberFormat="1" applyFont="1" applyFill="1" applyBorder="1"/>
    <xf numFmtId="0" fontId="6" fillId="6" borderId="19" xfId="0" applyFont="1" applyFill="1" applyBorder="1"/>
    <xf numFmtId="3" fontId="0" fillId="6" borderId="11" xfId="0" applyNumberFormat="1" applyFill="1" applyBorder="1"/>
    <xf numFmtId="3" fontId="0" fillId="6" borderId="15" xfId="0" applyNumberFormat="1" applyFill="1" applyBorder="1"/>
    <xf numFmtId="3" fontId="0" fillId="6" borderId="29" xfId="0" applyNumberFormat="1" applyFill="1" applyBorder="1"/>
    <xf numFmtId="0" fontId="6" fillId="8" borderId="21" xfId="0" applyFont="1" applyFill="1" applyBorder="1"/>
    <xf numFmtId="3" fontId="2" fillId="8" borderId="7" xfId="0" applyNumberFormat="1" applyFont="1" applyFill="1" applyBorder="1"/>
    <xf numFmtId="3" fontId="0" fillId="8" borderId="22" xfId="0" applyNumberFormat="1" applyFill="1" applyBorder="1"/>
    <xf numFmtId="3" fontId="0" fillId="8" borderId="23" xfId="0" applyNumberFormat="1" applyFill="1" applyBorder="1"/>
    <xf numFmtId="3" fontId="2" fillId="8" borderId="27" xfId="0" applyNumberFormat="1" applyFont="1" applyFill="1" applyBorder="1"/>
    <xf numFmtId="3" fontId="0" fillId="8" borderId="6" xfId="0" applyNumberFormat="1" applyFill="1" applyBorder="1"/>
    <xf numFmtId="3" fontId="2" fillId="8" borderId="21" xfId="0" applyNumberFormat="1" applyFont="1" applyFill="1" applyBorder="1"/>
    <xf numFmtId="0" fontId="6" fillId="9" borderId="21" xfId="0" applyFont="1" applyFill="1" applyBorder="1"/>
    <xf numFmtId="3" fontId="2" fillId="9" borderId="7" xfId="0" applyNumberFormat="1" applyFont="1" applyFill="1" applyBorder="1"/>
    <xf numFmtId="3" fontId="0" fillId="9" borderId="22" xfId="0" applyNumberFormat="1" applyFill="1" applyBorder="1"/>
    <xf numFmtId="3" fontId="0" fillId="9" borderId="23" xfId="0" applyNumberFormat="1" applyFill="1" applyBorder="1"/>
    <xf numFmtId="3" fontId="2" fillId="9" borderId="27" xfId="0" applyNumberFormat="1" applyFont="1" applyFill="1" applyBorder="1"/>
    <xf numFmtId="3" fontId="0" fillId="9" borderId="0" xfId="0" applyNumberFormat="1" applyFill="1"/>
    <xf numFmtId="3" fontId="0" fillId="9" borderId="6" xfId="0" applyNumberFormat="1" applyFill="1" applyBorder="1"/>
    <xf numFmtId="3" fontId="2" fillId="9" borderId="21" xfId="0" applyNumberFormat="1" applyFont="1" applyFill="1" applyBorder="1"/>
    <xf numFmtId="3" fontId="0" fillId="7" borderId="12" xfId="0" applyNumberFormat="1" applyFill="1" applyBorder="1"/>
    <xf numFmtId="3" fontId="0" fillId="5" borderId="12" xfId="0" applyNumberFormat="1" applyFill="1" applyBorder="1"/>
    <xf numFmtId="3" fontId="0" fillId="9" borderId="12" xfId="0" applyNumberFormat="1" applyFill="1" applyBorder="1"/>
    <xf numFmtId="3" fontId="0" fillId="8" borderId="12" xfId="0" applyNumberFormat="1" applyFill="1" applyBorder="1"/>
    <xf numFmtId="3" fontId="2" fillId="9" borderId="18" xfId="0" applyNumberFormat="1" applyFont="1" applyFill="1" applyBorder="1"/>
    <xf numFmtId="3" fontId="2" fillId="8" borderId="18" xfId="0" applyNumberFormat="1" applyFont="1" applyFill="1" applyBorder="1"/>
    <xf numFmtId="3" fontId="2" fillId="7" borderId="18" xfId="0" applyNumberFormat="1" applyFont="1" applyFill="1" applyBorder="1"/>
    <xf numFmtId="3" fontId="2" fillId="5" borderId="18" xfId="0" applyNumberFormat="1" applyFont="1" applyFill="1" applyBorder="1"/>
    <xf numFmtId="0" fontId="6" fillId="5" borderId="10" xfId="0" applyFont="1" applyFill="1" applyBorder="1"/>
    <xf numFmtId="3" fontId="2" fillId="7" borderId="17" xfId="0" applyNumberFormat="1" applyFont="1" applyFill="1" applyBorder="1"/>
    <xf numFmtId="3" fontId="2" fillId="7" borderId="26" xfId="0" applyNumberFormat="1" applyFont="1" applyFill="1" applyBorder="1"/>
    <xf numFmtId="3" fontId="0" fillId="9" borderId="17" xfId="0" applyNumberFormat="1" applyFill="1" applyBorder="1"/>
    <xf numFmtId="3" fontId="0" fillId="8" borderId="17" xfId="0" applyNumberFormat="1" applyFill="1" applyBorder="1"/>
    <xf numFmtId="3" fontId="0" fillId="7" borderId="17" xfId="0" applyNumberFormat="1" applyFill="1" applyBorder="1"/>
    <xf numFmtId="3" fontId="0" fillId="5" borderId="17" xfId="0" applyNumberFormat="1" applyFill="1" applyBorder="1"/>
    <xf numFmtId="3" fontId="2" fillId="9" borderId="17" xfId="0" applyNumberFormat="1" applyFont="1" applyFill="1" applyBorder="1"/>
    <xf numFmtId="3" fontId="2" fillId="9" borderId="26" xfId="0" applyNumberFormat="1" applyFont="1" applyFill="1" applyBorder="1"/>
    <xf numFmtId="3" fontId="2" fillId="8" borderId="17" xfId="0" applyNumberFormat="1" applyFont="1" applyFill="1" applyBorder="1"/>
    <xf numFmtId="3" fontId="2" fillId="8" borderId="26" xfId="0" applyNumberFormat="1" applyFont="1" applyFill="1" applyBorder="1"/>
    <xf numFmtId="3" fontId="2" fillId="5" borderId="17" xfId="0" applyNumberFormat="1" applyFont="1" applyFill="1" applyBorder="1"/>
    <xf numFmtId="3" fontId="2" fillId="5" borderId="26" xfId="0" applyNumberFormat="1" applyFont="1" applyFill="1" applyBorder="1"/>
    <xf numFmtId="0" fontId="6" fillId="4" borderId="19" xfId="0" applyFont="1" applyFill="1" applyBorder="1"/>
    <xf numFmtId="3" fontId="2" fillId="4" borderId="17" xfId="0" applyNumberFormat="1" applyFont="1" applyFill="1" applyBorder="1"/>
    <xf numFmtId="3" fontId="0" fillId="4" borderId="12" xfId="0" applyNumberFormat="1" applyFill="1" applyBorder="1"/>
    <xf numFmtId="3" fontId="0" fillId="4" borderId="17" xfId="0" applyNumberFormat="1" applyFill="1" applyBorder="1"/>
    <xf numFmtId="3" fontId="2" fillId="4" borderId="26" xfId="0" applyNumberFormat="1" applyFont="1" applyFill="1" applyBorder="1"/>
    <xf numFmtId="3" fontId="2" fillId="4" borderId="18" xfId="0" applyNumberFormat="1" applyFont="1" applyFill="1" applyBorder="1"/>
    <xf numFmtId="3" fontId="9" fillId="3" borderId="17" xfId="0" applyNumberFormat="1" applyFont="1" applyFill="1" applyBorder="1"/>
    <xf numFmtId="3" fontId="10" fillId="3" borderId="12" xfId="0" applyNumberFormat="1" applyFont="1" applyFill="1" applyBorder="1"/>
    <xf numFmtId="3" fontId="10" fillId="3" borderId="17" xfId="0" applyNumberFormat="1" applyFont="1" applyFill="1" applyBorder="1"/>
    <xf numFmtId="3" fontId="9" fillId="3" borderId="26" xfId="0" applyNumberFormat="1" applyFont="1" applyFill="1" applyBorder="1"/>
    <xf numFmtId="3" fontId="9" fillId="3" borderId="18" xfId="0" applyNumberFormat="1" applyFont="1" applyFill="1" applyBorder="1"/>
    <xf numFmtId="0" fontId="11" fillId="0" borderId="0" xfId="0" applyFont="1"/>
    <xf numFmtId="0" fontId="0" fillId="5" borderId="30" xfId="0" applyFill="1" applyBorder="1"/>
    <xf numFmtId="0" fontId="0" fillId="5" borderId="0" xfId="0" applyFill="1"/>
    <xf numFmtId="0" fontId="0" fillId="5" borderId="31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2" xfId="0" applyFill="1" applyBorder="1"/>
    <xf numFmtId="0" fontId="0" fillId="5" borderId="35" xfId="0" applyFill="1" applyBorder="1"/>
    <xf numFmtId="0" fontId="0" fillId="5" borderId="36" xfId="0" applyFill="1" applyBorder="1"/>
    <xf numFmtId="0" fontId="12" fillId="5" borderId="0" xfId="7" applyFill="1"/>
    <xf numFmtId="0" fontId="0" fillId="10" borderId="0" xfId="0" applyFill="1"/>
    <xf numFmtId="3" fontId="0" fillId="0" borderId="0" xfId="0" applyNumberFormat="1"/>
    <xf numFmtId="0" fontId="2" fillId="0" borderId="0" xfId="0" applyFont="1"/>
    <xf numFmtId="0" fontId="0" fillId="0" borderId="24" xfId="0" applyBorder="1"/>
    <xf numFmtId="38" fontId="0" fillId="0" borderId="0" xfId="0" applyNumberFormat="1"/>
    <xf numFmtId="0" fontId="0" fillId="0" borderId="39" xfId="0" applyBorder="1"/>
    <xf numFmtId="3" fontId="0" fillId="0" borderId="39" xfId="0" applyNumberFormat="1" applyBorder="1"/>
    <xf numFmtId="0" fontId="14" fillId="0" borderId="0" xfId="0" applyFont="1"/>
    <xf numFmtId="165" fontId="0" fillId="0" borderId="0" xfId="0" applyNumberFormat="1"/>
    <xf numFmtId="165" fontId="5" fillId="0" borderId="4" xfId="0" applyNumberFormat="1" applyFont="1" applyBorder="1" applyAlignment="1">
      <alignment horizontal="right" vertical="center"/>
    </xf>
    <xf numFmtId="165" fontId="5" fillId="0" borderId="2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 vertical="center"/>
    </xf>
    <xf numFmtId="164" fontId="7" fillId="0" borderId="56" xfId="8" applyNumberFormat="1" applyFont="1" applyBorder="1"/>
    <xf numFmtId="0" fontId="0" fillId="0" borderId="0" xfId="405" applyNumberFormat="1" applyFont="1"/>
    <xf numFmtId="0" fontId="90" fillId="0" borderId="0" xfId="0" applyFont="1"/>
    <xf numFmtId="0" fontId="90" fillId="0" borderId="0" xfId="405" applyNumberFormat="1" applyFont="1"/>
    <xf numFmtId="0" fontId="91" fillId="0" borderId="0" xfId="0" applyFont="1"/>
    <xf numFmtId="10" fontId="0" fillId="0" borderId="0" xfId="0" applyNumberFormat="1"/>
    <xf numFmtId="182" fontId="0" fillId="0" borderId="0" xfId="0" applyNumberFormat="1"/>
    <xf numFmtId="44" fontId="0" fillId="0" borderId="0" xfId="405" applyFont="1"/>
    <xf numFmtId="44" fontId="0" fillId="0" borderId="0" xfId="0" applyNumberFormat="1"/>
    <xf numFmtId="0" fontId="9" fillId="3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3" fillId="0" borderId="0" xfId="2" applyFont="1" applyAlignment="1">
      <alignment horizontal="center" vertical="center"/>
    </xf>
    <xf numFmtId="0" fontId="14" fillId="0" borderId="40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1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</cellXfs>
  <cellStyles count="406">
    <cellStyle name="_%(SignOnly)" xfId="60" xr:uid="{95FC657E-973D-4D14-9FB7-01077A62BD81}"/>
    <cellStyle name="_%(SignOnly) 2" xfId="61" xr:uid="{3AB5EB8C-5D98-4284-8FBC-D315A5606613}"/>
    <cellStyle name="_%(SignSpaceOnly)" xfId="62" xr:uid="{475803C1-885D-441B-8862-719A15124F6B}"/>
    <cellStyle name="_%(SignSpaceOnly) 2" xfId="63" xr:uid="{C243F7A0-1BC0-42F2-9CE1-42B25C2C55AF}"/>
    <cellStyle name="_Comma" xfId="64" xr:uid="{806FB246-3686-4F54-A118-9C730B7972AF}"/>
    <cellStyle name="_Comma 2" xfId="65" xr:uid="{2A15F355-7B29-4D21-B443-833296FF8E8E}"/>
    <cellStyle name="_Currency" xfId="66" xr:uid="{1945C4FA-C757-4E34-B8F3-E4F801888BB8}"/>
    <cellStyle name="_Currency 2" xfId="67" xr:uid="{835B4042-3EEF-4303-B7A0-863CD2DBECAC}"/>
    <cellStyle name="_CurrencySpace" xfId="68" xr:uid="{92996194-8FB1-4F77-9814-A70C513F7FF4}"/>
    <cellStyle name="_CurrencySpace 2" xfId="69" xr:uid="{7F648AFE-5403-4A6B-AE41-13D6AFD8C455}"/>
    <cellStyle name="_Euro" xfId="70" xr:uid="{9BD38721-7FB9-431D-861F-A37BAA5943C0}"/>
    <cellStyle name="_Euro 2" xfId="71" xr:uid="{44325A9D-62BE-453C-BF0F-1AB2BD8E4E27}"/>
    <cellStyle name="_Heading" xfId="72" xr:uid="{2B5D4F4E-B9F4-49AF-A5CC-65F186CB8977}"/>
    <cellStyle name="_Highlight" xfId="73" xr:uid="{257583FD-5D2C-4ABD-94CB-AC416C6EB37A}"/>
    <cellStyle name="_Highlight 2" xfId="74" xr:uid="{B72391CC-7DAB-442B-B095-3C38593E1E6F}"/>
    <cellStyle name="_Multiple" xfId="75" xr:uid="{C2589641-8D04-41F7-972E-D7F8C3CFC08E}"/>
    <cellStyle name="_Multiple 2" xfId="76" xr:uid="{9A409F51-7897-4BAC-822E-01F600C1DFBB}"/>
    <cellStyle name="_MultipleSpace" xfId="77" xr:uid="{822312CB-ED9C-4E4F-B7A3-335C8EE90988}"/>
    <cellStyle name="_MultipleSpace 2" xfId="78" xr:uid="{7ACCACF7-79F1-42C7-9AD6-469A553C7B67}"/>
    <cellStyle name="_SubHeading" xfId="79" xr:uid="{4895483A-207C-4FAE-8E91-7CE53391CFCB}"/>
    <cellStyle name="_Table" xfId="80" xr:uid="{DAA94934-A5FD-43E0-9933-E51C8A4965DA}"/>
    <cellStyle name="_TableHead" xfId="81" xr:uid="{C12330DD-C637-4EB1-9EA1-FA7BC73A97E5}"/>
    <cellStyle name="_TableRowHead" xfId="82" xr:uid="{321EC38B-2035-4F5C-8B17-900E054AC5D9}"/>
    <cellStyle name="_TableSuperHead" xfId="83" xr:uid="{81CD3BC5-6D68-4B16-B561-DE161FE74343}"/>
    <cellStyle name="20% - Accent1 2" xfId="85" xr:uid="{FE3E3903-E57D-4642-A91F-1EB186076477}"/>
    <cellStyle name="20% - Accent1 2 2" xfId="335" xr:uid="{970D0A7F-387F-4D5E-BC4B-0F77D128CD21}"/>
    <cellStyle name="20% - Accent1 3" xfId="86" xr:uid="{58E38309-FF33-4FA7-91AF-1F4236302840}"/>
    <cellStyle name="20% - Accent1 4" xfId="84" xr:uid="{DF5DC3AD-CD55-4626-AD91-930C4A2076A3}"/>
    <cellStyle name="20% - Accent1 5" xfId="9" xr:uid="{7B1301F8-0534-49B4-A9C9-9FFE6B8F9D21}"/>
    <cellStyle name="20% - Accent2 2" xfId="88" xr:uid="{40719D31-A3D3-45CB-B03D-DB7791CF3F61}"/>
    <cellStyle name="20% - Accent2 2 2" xfId="336" xr:uid="{46782E12-9832-4D2F-99E1-4A028A3B7909}"/>
    <cellStyle name="20% - Accent2 3" xfId="89" xr:uid="{142B7117-4FF1-4CC3-8487-BFC4678B28A1}"/>
    <cellStyle name="20% - Accent2 4" xfId="87" xr:uid="{619BCDD1-252B-438D-A6CE-CD580E4769AC}"/>
    <cellStyle name="20% - Accent2 5" xfId="10" xr:uid="{9B5B6229-0345-4B51-867A-65BAB4F19AF0}"/>
    <cellStyle name="20% - Accent3 2" xfId="91" xr:uid="{5AB20E61-74AE-44ED-A4B0-167AB2E665DF}"/>
    <cellStyle name="20% - Accent3 2 2" xfId="337" xr:uid="{6AED49E3-D022-406E-A392-AB684510390E}"/>
    <cellStyle name="20% - Accent3 3" xfId="92" xr:uid="{20637F55-DB13-47F2-8A9D-BC3710E65C38}"/>
    <cellStyle name="20% - Accent3 4" xfId="90" xr:uid="{EFE56E6F-A895-4D73-B6DB-57612414A728}"/>
    <cellStyle name="20% - Accent3 5" xfId="11" xr:uid="{964B1E2D-43CA-47FA-ADF3-38D4482D7D6B}"/>
    <cellStyle name="20% - Accent4 2" xfId="94" xr:uid="{FAD999DE-C4F5-4296-97B4-315A87D66673}"/>
    <cellStyle name="20% - Accent4 2 2" xfId="338" xr:uid="{1EB215A7-3BC4-4C08-BCEF-D2F6000BF6BF}"/>
    <cellStyle name="20% - Accent4 3" xfId="95" xr:uid="{387A5428-0405-4E9C-A714-A6EE668FA9DF}"/>
    <cellStyle name="20% - Accent4 4" xfId="93" xr:uid="{E08F5B8C-5A37-4CA1-930E-9DC04ED0FA75}"/>
    <cellStyle name="20% - Accent4 5" xfId="12" xr:uid="{ECE4C562-D471-4120-8FA8-9B7D92192179}"/>
    <cellStyle name="20% - Accent5 2" xfId="97" xr:uid="{DD85B670-ECDC-40F1-8BC1-0BFBB34B3FB5}"/>
    <cellStyle name="20% - Accent5 2 2" xfId="339" xr:uid="{50088B2D-5AE8-4E21-B8F0-606152AD5983}"/>
    <cellStyle name="20% - Accent5 3" xfId="98" xr:uid="{CDCAE07A-062D-4BB7-9FED-A508419E0270}"/>
    <cellStyle name="20% - Accent5 4" xfId="96" xr:uid="{25BABB87-A25D-47C6-AF48-4DD69F2022A5}"/>
    <cellStyle name="20% - Accent5 5" xfId="13" xr:uid="{2AC30F5D-8F20-4102-8859-E72CEF26C875}"/>
    <cellStyle name="20% - Accent6 2" xfId="100" xr:uid="{AB447612-21D4-4F1C-A481-BF5D3F6ED3AE}"/>
    <cellStyle name="20% - Accent6 2 2" xfId="340" xr:uid="{AD28A8D0-35F9-426E-BF32-3C081A1A02E8}"/>
    <cellStyle name="20% - Accent6 3" xfId="101" xr:uid="{15194F79-1AC2-409F-A083-EC7E599C576B}"/>
    <cellStyle name="20% - Accent6 4" xfId="99" xr:uid="{0F1683C8-43F1-45AA-A52E-8E4CA390C8DA}"/>
    <cellStyle name="20% - Accent6 5" xfId="14" xr:uid="{29E416BB-1C65-4DCE-B9AC-5477AFA051A0}"/>
    <cellStyle name="40% - Accent1 2" xfId="103" xr:uid="{5143EA65-75A5-4483-BC90-0EA5593B18B3}"/>
    <cellStyle name="40% - Accent1 2 2" xfId="341" xr:uid="{ACA7D5EC-A977-427B-B8D5-475E1F2FBD4C}"/>
    <cellStyle name="40% - Accent1 3" xfId="104" xr:uid="{1752560A-C274-4F7A-A9A2-E4DE72B7E2B8}"/>
    <cellStyle name="40% - Accent1 4" xfId="102" xr:uid="{210C8295-E147-4176-A73B-B892706CE6BC}"/>
    <cellStyle name="40% - Accent1 5" xfId="15" xr:uid="{E3178CB6-87EF-4A42-9D97-605741973C39}"/>
    <cellStyle name="40% - Accent2 2" xfId="106" xr:uid="{7DBF0DB2-4FC5-416F-A485-5C1C5BD2C32A}"/>
    <cellStyle name="40% - Accent2 2 2" xfId="342" xr:uid="{16BAABDE-B343-4951-9EDB-9D9796838D7A}"/>
    <cellStyle name="40% - Accent2 3" xfId="107" xr:uid="{12F0B952-5EF4-401E-9112-11D0454F1F12}"/>
    <cellStyle name="40% - Accent2 4" xfId="105" xr:uid="{75C23911-395E-457B-A842-6560A8A7AB55}"/>
    <cellStyle name="40% - Accent2 5" xfId="16" xr:uid="{E109ABDC-FE9F-4D3A-B5CE-B76CA20C6D1C}"/>
    <cellStyle name="40% - Accent3 2" xfId="109" xr:uid="{2A898CBC-573C-4FC3-AB8B-5396E075471C}"/>
    <cellStyle name="40% - Accent3 2 2" xfId="343" xr:uid="{FE30BDBB-0B15-40ED-90DB-2760F302B237}"/>
    <cellStyle name="40% - Accent3 3" xfId="110" xr:uid="{8DD559F6-5A31-4D82-B067-47E8049C4F7B}"/>
    <cellStyle name="40% - Accent3 4" xfId="108" xr:uid="{E16CA38D-A5BB-46B3-BCCA-81209DCB9B74}"/>
    <cellStyle name="40% - Accent3 5" xfId="17" xr:uid="{7B877A48-69E0-4E26-9073-F4F6DA7D8F2E}"/>
    <cellStyle name="40% - Accent4 2" xfId="112" xr:uid="{40DA7FE8-E9EA-4F15-9950-C14BE4730435}"/>
    <cellStyle name="40% - Accent4 2 2" xfId="344" xr:uid="{71CE129B-5684-4A79-9475-8AF81A59F7A1}"/>
    <cellStyle name="40% - Accent4 3" xfId="113" xr:uid="{DB51A3E3-8B70-4DC3-A754-F1E72C62C41E}"/>
    <cellStyle name="40% - Accent4 4" xfId="111" xr:uid="{CCB7438F-03C6-4B8D-8BEE-4B67E311970A}"/>
    <cellStyle name="40% - Accent4 5" xfId="18" xr:uid="{0449F88B-D76B-4BBA-8283-EEEA5E4A5D76}"/>
    <cellStyle name="40% - Accent5 2" xfId="115" xr:uid="{E85EC0E4-7222-4FF1-A40C-982D13417998}"/>
    <cellStyle name="40% - Accent5 2 2" xfId="345" xr:uid="{0CF67A97-6C37-49D8-8B1D-0E68A6D6DD7C}"/>
    <cellStyle name="40% - Accent5 3" xfId="116" xr:uid="{7AE6C805-FFFC-42AB-B169-1702B254526D}"/>
    <cellStyle name="40% - Accent5 4" xfId="114" xr:uid="{017D29AE-46B0-4F9B-BD52-38772819CC0A}"/>
    <cellStyle name="40% - Accent5 5" xfId="19" xr:uid="{566A458E-9C06-4B83-ABF4-AE24F1950F15}"/>
    <cellStyle name="40% - Accent6 2" xfId="118" xr:uid="{5C33BFF0-5875-485F-BE18-D2F42478E245}"/>
    <cellStyle name="40% - Accent6 2 2" xfId="346" xr:uid="{DA53167D-6A90-4A6B-A699-B8C5396021E9}"/>
    <cellStyle name="40% - Accent6 3" xfId="119" xr:uid="{F11D1CD7-AB2A-4DF9-8E6B-C926AA406848}"/>
    <cellStyle name="40% - Accent6 4" xfId="117" xr:uid="{2D82E1D6-0888-40CF-8668-EF25FEC8102A}"/>
    <cellStyle name="40% - Accent6 5" xfId="20" xr:uid="{13284682-A1EE-4B3E-B6E3-1225E2454D79}"/>
    <cellStyle name="60% - Accent1 2" xfId="121" xr:uid="{3267F73B-D39D-4F50-851E-1252350110F3}"/>
    <cellStyle name="60% - Accent1 2 2" xfId="347" xr:uid="{19986CAE-7D47-4CCE-A96E-F94718E75B60}"/>
    <cellStyle name="60% - Accent1 3" xfId="122" xr:uid="{4095E2A6-D5D1-429D-952D-F612407E9C03}"/>
    <cellStyle name="60% - Accent1 4" xfId="120" xr:uid="{2924D1D2-45C2-41BD-A552-8E2CA14FF5D0}"/>
    <cellStyle name="60% - Accent1 5" xfId="21" xr:uid="{09D0F67E-487E-4ED2-A0A0-2CDD30496ACB}"/>
    <cellStyle name="60% - Accent2 2" xfId="124" xr:uid="{CEF5B7BB-2E2B-4687-8F3D-F2A4D2E922E3}"/>
    <cellStyle name="60% - Accent2 2 2" xfId="348" xr:uid="{F4677FCB-DEA4-4AD1-B570-9671B22756BF}"/>
    <cellStyle name="60% - Accent2 3" xfId="125" xr:uid="{D02932D5-002D-4DB0-9088-A84695BDAB6D}"/>
    <cellStyle name="60% - Accent2 4" xfId="123" xr:uid="{7F9A7FB0-4D32-40DB-8676-4CD6FB11D22E}"/>
    <cellStyle name="60% - Accent2 5" xfId="22" xr:uid="{1851012C-078A-44A0-A611-AAB644F17C9D}"/>
    <cellStyle name="60% - Accent3 2" xfId="127" xr:uid="{8A39030B-3222-49E8-AC03-7B28D8494411}"/>
    <cellStyle name="60% - Accent3 2 2" xfId="349" xr:uid="{FDFC16A5-AA9A-41A8-A7F1-BFFB9FBE1ED9}"/>
    <cellStyle name="60% - Accent3 3" xfId="128" xr:uid="{F50415C7-EF42-4F56-9340-EA0F35731167}"/>
    <cellStyle name="60% - Accent3 4" xfId="126" xr:uid="{066E133E-A69C-42DE-8BDE-61AB0525DF94}"/>
    <cellStyle name="60% - Accent3 5" xfId="23" xr:uid="{1D4691AB-57F2-4BFF-B686-A7D962C0B594}"/>
    <cellStyle name="60% - Accent4 2" xfId="130" xr:uid="{2042634A-4D1F-4EC2-803E-198C0977AEBD}"/>
    <cellStyle name="60% - Accent4 2 2" xfId="350" xr:uid="{ABBE477A-869B-4AFE-B750-237EAF0255AD}"/>
    <cellStyle name="60% - Accent4 3" xfId="131" xr:uid="{7740DF8F-E0A6-4307-BC74-2F88321F8BCD}"/>
    <cellStyle name="60% - Accent4 4" xfId="129" xr:uid="{2F61297E-DBA0-4AA9-AE53-4F03F1C29238}"/>
    <cellStyle name="60% - Accent4 5" xfId="24" xr:uid="{EBF2064D-55E4-4418-9377-8E9DD29EC5E7}"/>
    <cellStyle name="60% - Accent5 2" xfId="133" xr:uid="{CD1AAEF3-D30B-477F-9469-8A00A2093CE6}"/>
    <cellStyle name="60% - Accent5 2 2" xfId="351" xr:uid="{CAC18D0F-BFE9-4341-B695-BA1EACA22EAA}"/>
    <cellStyle name="60% - Accent5 3" xfId="134" xr:uid="{B139D1AE-005B-4A47-88CE-B049F95FF7B4}"/>
    <cellStyle name="60% - Accent5 4" xfId="132" xr:uid="{D20A5CED-1287-4CE6-A9B4-5898AF31AA5D}"/>
    <cellStyle name="60% - Accent5 5" xfId="25" xr:uid="{E5F22E55-20B2-494E-943F-87641BB492A8}"/>
    <cellStyle name="60% - Accent6 2" xfId="136" xr:uid="{EDB9C77D-A312-4DBE-8225-C4769BB07B2F}"/>
    <cellStyle name="60% - Accent6 2 2" xfId="352" xr:uid="{0EF25534-E765-48CC-9BC0-721AA07C40EF}"/>
    <cellStyle name="60% - Accent6 3" xfId="137" xr:uid="{05AE1C48-BA4F-43BE-8F8C-051E15C6749C}"/>
    <cellStyle name="60% - Accent6 4" xfId="135" xr:uid="{FA917E7A-CC9A-45AA-8344-4ADDF05C14A8}"/>
    <cellStyle name="60% - Accent6 5" xfId="26" xr:uid="{69D16A57-725E-4A4E-A16E-FB1090117F7D}"/>
    <cellStyle name="Accent1 2" xfId="139" xr:uid="{8DEA52BC-EB82-4177-9DF2-0C181B00E57F}"/>
    <cellStyle name="Accent1 2 2" xfId="353" xr:uid="{D8E309FA-CFB2-4E57-B675-A50F0ED8994D}"/>
    <cellStyle name="Accent1 3" xfId="140" xr:uid="{341A8C53-3764-4FA6-9CF8-B5BEC623C7D5}"/>
    <cellStyle name="Accent1 4" xfId="138" xr:uid="{02D7860D-2631-42CA-A869-C2EA2541786D}"/>
    <cellStyle name="Accent1 5" xfId="27" xr:uid="{F89F40AE-6ED9-44B4-8EB5-BE0FCD436970}"/>
    <cellStyle name="Accent2 2" xfId="142" xr:uid="{ECE2FFF3-2CA3-4751-A3CC-4965FB7445E0}"/>
    <cellStyle name="Accent2 2 2" xfId="354" xr:uid="{B9207DC9-12C9-4FF1-AB92-49697913BC3A}"/>
    <cellStyle name="Accent2 3" xfId="143" xr:uid="{E70356C2-88F0-4960-94A8-74C3B3A21A71}"/>
    <cellStyle name="Accent2 4" xfId="141" xr:uid="{56D0D727-6C34-4E50-A46C-E503F3FA2841}"/>
    <cellStyle name="Accent2 5" xfId="28" xr:uid="{6344D449-21EE-47A5-868B-B96F8A10DE3C}"/>
    <cellStyle name="Accent3 2" xfId="145" xr:uid="{764E979A-B6A3-4E37-83E4-75421ECC9336}"/>
    <cellStyle name="Accent3 2 2" xfId="355" xr:uid="{19DDE962-CC6E-4F39-AA95-D3620D18F4A6}"/>
    <cellStyle name="Accent3 3" xfId="146" xr:uid="{CAA3EBFA-F3CE-4E26-B67C-246BFFCA8D15}"/>
    <cellStyle name="Accent3 4" xfId="144" xr:uid="{676B12B1-ED9B-4F5F-97D1-81FBB9720820}"/>
    <cellStyle name="Accent3 5" xfId="29" xr:uid="{14FDA117-37E0-429B-9FB4-1AB7D242A8B4}"/>
    <cellStyle name="Accent4 2" xfId="148" xr:uid="{AEA78084-00DE-4589-B224-A390DA49F693}"/>
    <cellStyle name="Accent4 2 2" xfId="356" xr:uid="{E280F793-4233-45BA-915E-7151BE786871}"/>
    <cellStyle name="Accent4 3" xfId="149" xr:uid="{75A34D97-154F-4395-9804-E71A57A63F47}"/>
    <cellStyle name="Accent4 4" xfId="147" xr:uid="{E8D4EA5B-B0B7-4E1F-9850-C8F0279F6378}"/>
    <cellStyle name="Accent4 5" xfId="30" xr:uid="{F3C6A063-13EE-460B-8A37-D76C4562C006}"/>
    <cellStyle name="Accent5 2" xfId="151" xr:uid="{24EA316A-3EBF-4BB9-B4A4-256628F283FD}"/>
    <cellStyle name="Accent5 2 2" xfId="357" xr:uid="{A13F4849-132A-429D-8AFE-BD3820047312}"/>
    <cellStyle name="Accent5 3" xfId="152" xr:uid="{88ED95B9-B5A0-4A9E-9B42-356FD063DEC5}"/>
    <cellStyle name="Accent5 4" xfId="150" xr:uid="{56F7B495-A380-405E-B719-DCD2658D0DD2}"/>
    <cellStyle name="Accent5 5" xfId="31" xr:uid="{41502BAB-58C8-445B-B7C7-7351535988AB}"/>
    <cellStyle name="Accent6 2" xfId="154" xr:uid="{F49844C8-99D1-464C-8A17-3AB0033EEA5C}"/>
    <cellStyle name="Accent6 2 2" xfId="358" xr:uid="{1F7BB03A-7F17-4820-B9E1-02EC10F7881B}"/>
    <cellStyle name="Accent6 3" xfId="155" xr:uid="{1F2BAF9F-9D25-4AF6-9813-EF9E473E096B}"/>
    <cellStyle name="Accent6 4" xfId="153" xr:uid="{ECFB38FF-90E4-4D42-8B06-21B7AD9639F3}"/>
    <cellStyle name="Accent6 5" xfId="32" xr:uid="{F38D0CB1-C77F-4DBA-967F-3AB8B35EFD19}"/>
    <cellStyle name="Actual Date" xfId="359" xr:uid="{5ECA96AC-56C6-4B65-B694-6893A4522F29}"/>
    <cellStyle name="Adjustable" xfId="156" xr:uid="{1535D34C-0198-4491-92AA-E8661AEA6A5F}"/>
    <cellStyle name="Bad 2" xfId="158" xr:uid="{AB0EAE00-1865-4860-8716-ABAD7B482FBE}"/>
    <cellStyle name="Bad 2 2" xfId="360" xr:uid="{4F2077A5-F3F0-4FCC-9F9F-D35995E80E7E}"/>
    <cellStyle name="Bad 3" xfId="159" xr:uid="{E988333B-EB10-4FAB-BE0F-D801093A459F}"/>
    <cellStyle name="Bad 4" xfId="157" xr:uid="{F6BC7ABB-29FF-45CE-B2CB-1D3773071A36}"/>
    <cellStyle name="Bad 5" xfId="33" xr:uid="{62C4F85B-A5D9-4EB5-8FD0-DFAB55EDAA25}"/>
    <cellStyle name="Calculation 2" xfId="161" xr:uid="{508BBB97-4867-458A-8443-1F4C0ED33748}"/>
    <cellStyle name="Calculation 2 2" xfId="361" xr:uid="{77BD892A-7F04-469E-A60A-1C2A72017354}"/>
    <cellStyle name="Calculation 3" xfId="162" xr:uid="{943B3F57-15DC-4591-8606-D386700B503A}"/>
    <cellStyle name="Calculation 4" xfId="160" xr:uid="{2083815D-6CB3-4B5F-BD9F-2DD11E504E63}"/>
    <cellStyle name="Calculation 5" xfId="34" xr:uid="{17B5ACAA-566F-431E-8B13-643C037A35C2}"/>
    <cellStyle name="Check Cell 2" xfId="164" xr:uid="{D00C0CC9-DA08-4EA1-B3EE-DCF2F97346B9}"/>
    <cellStyle name="Check Cell 2 2" xfId="362" xr:uid="{56652C97-A1B7-41AA-B3FF-FA0C32AD2B76}"/>
    <cellStyle name="Check Cell 3" xfId="165" xr:uid="{35B42B76-CC76-4F21-8D02-C1581B56BC81}"/>
    <cellStyle name="Check Cell 4" xfId="163" xr:uid="{0C09EF13-1B3A-481A-9289-5C943F23498E}"/>
    <cellStyle name="Check Cell 5" xfId="35" xr:uid="{74ED68E5-5992-4DB9-BEF0-97EBF8BFD526}"/>
    <cellStyle name="Comma" xfId="1" builtinId="3"/>
    <cellStyle name="Comma 0" xfId="166" xr:uid="{2A05EDB1-D84C-4487-A02E-6980FFF37B0A}"/>
    <cellStyle name="Comma 10" xfId="311" xr:uid="{15C9E1CF-B559-43BC-BF90-92012FFD140A}"/>
    <cellStyle name="Comma 11" xfId="322" xr:uid="{3E3F6EBB-7D9B-4CAD-AC08-8CC74FC571C1}"/>
    <cellStyle name="Comma 12" xfId="314" xr:uid="{4361912A-2FB3-4C6B-BC6E-6BB6190D0B4B}"/>
    <cellStyle name="Comma 13" xfId="36" xr:uid="{465EF56D-FAAE-494A-BD56-F30E2BF87BA1}"/>
    <cellStyle name="Comma 2" xfId="8" xr:uid="{F6ED9873-8A8F-48D8-87E2-F3F7B2F307E8}"/>
    <cellStyle name="Comma 2 2" xfId="167" xr:uid="{96861B85-3213-4227-A6C5-F06E54867CE9}"/>
    <cellStyle name="Comma 2 2 2" xfId="363" xr:uid="{CE248EF9-D938-478D-978B-EA14CEE13CB7}"/>
    <cellStyle name="Comma 2 3" xfId="323" xr:uid="{4A6E9226-F211-47C2-869D-68CCC164F417}"/>
    <cellStyle name="Comma 2 4" xfId="315" xr:uid="{84861AF2-1B52-4BB6-899E-DCF4ADB932B8}"/>
    <cellStyle name="Comma 3" xfId="168" xr:uid="{CAC9FCD1-03DB-4D3D-A886-07F54B5A0C76}"/>
    <cellStyle name="Comma 4" xfId="169" xr:uid="{9439CAC5-7CA1-41F2-A771-248AF0D4F062}"/>
    <cellStyle name="Comma 5" xfId="170" xr:uid="{92445EC2-D6FF-4203-AF8E-E96505DC6A2C}"/>
    <cellStyle name="Comma 5 2" xfId="171" xr:uid="{ACDAB6A4-CA7E-4F2B-829B-E89B9D00F8A0}"/>
    <cellStyle name="Comma 5 3" xfId="172" xr:uid="{4D22B6B5-CEAE-4BBE-A347-3A843AC0672E}"/>
    <cellStyle name="Comma 6" xfId="173" xr:uid="{581096B1-3340-4986-873B-7D22DE8E054F}"/>
    <cellStyle name="Comma 6 2" xfId="174" xr:uid="{CE8E76FF-9002-4AED-A7C4-FD86AB263E21}"/>
    <cellStyle name="Comma 7" xfId="175" xr:uid="{1B7FA57D-A9AF-4F6D-9511-59F6778D69F9}"/>
    <cellStyle name="Comma 7 2" xfId="176" xr:uid="{F86C794F-1015-404E-91A7-75C427D7446E}"/>
    <cellStyle name="Comma 8" xfId="177" xr:uid="{ACEFA129-CACA-4266-8815-3EAC392FEB18}"/>
    <cellStyle name="Comma 8 2" xfId="178" xr:uid="{F140C020-0B12-4852-BC8E-C69E03AF9EA3}"/>
    <cellStyle name="Comma 9" xfId="179" xr:uid="{97988BBA-BEB6-47D3-82EF-D05AD94D6C55}"/>
    <cellStyle name="Comma0 - Style1" xfId="364" xr:uid="{5DD28EED-FC2E-4BCD-B9B8-ECDBF8575F5D}"/>
    <cellStyle name="Currency" xfId="405" builtinId="4"/>
    <cellStyle name="Currency 0" xfId="180" xr:uid="{597DC329-9A65-4655-A000-C3C9A1896F3C}"/>
    <cellStyle name="Currency 2" xfId="181" xr:uid="{FE5B6C8E-8CA3-41CE-B507-82B28E132329}"/>
    <cellStyle name="Currency 2 2" xfId="365" xr:uid="{261E15D8-3E5B-4573-A2CC-9C60E2AE5180}"/>
    <cellStyle name="Currency 3" xfId="182" xr:uid="{EF053A99-3250-44DA-BB21-B8EDFC94A776}"/>
    <cellStyle name="Currency 4" xfId="4" xr:uid="{00000000-0005-0000-0000-000001000000}"/>
    <cellStyle name="Currency 5" xfId="324" xr:uid="{958B0BA1-3E11-4595-88EF-C6483767D6AB}"/>
    <cellStyle name="Currency 6" xfId="316" xr:uid="{50E01C94-5745-4F84-9C79-DA0B8AA3A0AA}"/>
    <cellStyle name="Date" xfId="183" xr:uid="{84A0D9F1-EE0A-4DC5-A6ED-1C433F873FC9}"/>
    <cellStyle name="Date 2" xfId="184" xr:uid="{1890DD5E-18F4-47CD-927F-18EAF1BBB4B3}"/>
    <cellStyle name="Date 3" xfId="366" xr:uid="{A3CA37E7-5EB0-477A-A62C-F3627E2A7554}"/>
    <cellStyle name="Date Aligned" xfId="185" xr:uid="{F57DFEE9-505D-475E-B2A1-DC6BD78FE607}"/>
    <cellStyle name="Dotted Line" xfId="186" xr:uid="{27007C31-05E5-4563-BF6D-3187E5DEA21C}"/>
    <cellStyle name="Euro" xfId="367" xr:uid="{04D235B7-34E8-4F2F-9922-CF35E6D48023}"/>
    <cellStyle name="Explanatory Text 2" xfId="188" xr:uid="{7CDC09E5-C47F-43B1-AF19-34BDCEF361AF}"/>
    <cellStyle name="Explanatory Text 2 2" xfId="368" xr:uid="{0E7E5FFC-9639-4F4D-A4EC-54CEFF4FF5D2}"/>
    <cellStyle name="Explanatory Text 3" xfId="189" xr:uid="{EAB34CCA-6CAD-4914-AC1B-5D6C4A9CEE04}"/>
    <cellStyle name="Explanatory Text 4" xfId="187" xr:uid="{549AA2FE-4646-4B43-AD64-F46B6B967753}"/>
    <cellStyle name="Explanatory Text 5" xfId="37" xr:uid="{A834C221-2F29-48AD-8A87-2EB057BDC9DD}"/>
    <cellStyle name="Fixed" xfId="369" xr:uid="{2EC748B9-9903-47AC-930E-A462C1953B2E}"/>
    <cellStyle name="Fixed 2" xfId="370" xr:uid="{536B70FA-D3D5-44CC-8B10-829A0287A087}"/>
    <cellStyle name="Fixed1 - Style1" xfId="371" xr:uid="{C0551E16-BAEF-4E9D-8D9E-8E808F8D8390}"/>
    <cellStyle name="Footnote" xfId="190" xr:uid="{7BC24CCC-4E6D-4707-AE97-F2CE47B4CAE9}"/>
    <cellStyle name="Good 2" xfId="192" xr:uid="{714FEEF4-DF10-4189-B690-D701E3DD9A33}"/>
    <cellStyle name="Good 2 2" xfId="372" xr:uid="{D5C4521F-E86E-4042-9ACD-EE254AE00CFD}"/>
    <cellStyle name="Good 3" xfId="193" xr:uid="{280BB0C5-1E89-4AA5-B076-01FFD0D75AD8}"/>
    <cellStyle name="Good 4" xfId="191" xr:uid="{0B66F6AA-8A2F-4934-9726-364CDC91F7E8}"/>
    <cellStyle name="Good 5" xfId="38" xr:uid="{C79D8929-AB31-4F0D-A176-F383C6C34193}"/>
    <cellStyle name="Grey" xfId="373" xr:uid="{CA174E65-A57C-4BF4-B453-A5BC2328BFB5}"/>
    <cellStyle name="Hard Percent" xfId="194" xr:uid="{30270DEE-9DDF-4790-AD67-0C840A41E7F8}"/>
    <cellStyle name="Header" xfId="195" xr:uid="{C0F09703-835B-4115-B930-893F51B3AFAA}"/>
    <cellStyle name="HEADER 2" xfId="374" xr:uid="{D092C374-FC6A-4336-8C84-D916D17BEBC9}"/>
    <cellStyle name="Heading 1 2" xfId="197" xr:uid="{0487420B-545B-4DEE-9223-7AE8387AA1E1}"/>
    <cellStyle name="Heading 1 3" xfId="198" xr:uid="{464A684B-EB1E-4FF9-AE0D-A18127C6946E}"/>
    <cellStyle name="Heading 1 4" xfId="196" xr:uid="{605D4155-1220-400B-A431-0265D388AEB6}"/>
    <cellStyle name="Heading 1 5" xfId="39" xr:uid="{6377FD72-4E8F-4F17-8D63-7A3D6573AA42}"/>
    <cellStyle name="Heading 2 2" xfId="200" xr:uid="{CBDBF533-7BC5-4291-AEE4-B334DD04F443}"/>
    <cellStyle name="Heading 2 3" xfId="201" xr:uid="{D33488AF-7F4F-4B73-BA91-B361F9CC0F9B}"/>
    <cellStyle name="Heading 2 4" xfId="199" xr:uid="{CD6BBBED-701F-4A28-A8F8-EB3FCCDC8270}"/>
    <cellStyle name="Heading 2 5" xfId="40" xr:uid="{D028B1CA-728A-44FA-956D-ECB1A2BBD10C}"/>
    <cellStyle name="Heading 3 2" xfId="203" xr:uid="{D921FA3C-FBFC-468D-A2E7-AD150F85BDF1}"/>
    <cellStyle name="Heading 3 3" xfId="204" xr:uid="{EA4EAC21-0E3D-48FE-9050-60963226DC47}"/>
    <cellStyle name="Heading 3 4" xfId="202" xr:uid="{ED9B08DE-AF7C-49CF-BFF7-1A39C4FFCB7B}"/>
    <cellStyle name="Heading 3 5" xfId="41" xr:uid="{3FD45C1B-7B82-4008-81AF-75E3E82BED62}"/>
    <cellStyle name="Heading 4 2" xfId="206" xr:uid="{7FBB88B9-171C-40BE-B540-C6FE9633C906}"/>
    <cellStyle name="Heading 4 3" xfId="207" xr:uid="{3B6F35D3-BE89-444D-9A5B-DAC973E440FB}"/>
    <cellStyle name="Heading 4 4" xfId="205" xr:uid="{7298C5D6-DB55-435F-825E-6FB09795B72C}"/>
    <cellStyle name="Heading 4 5" xfId="42" xr:uid="{CF3B7D5C-AC8E-4632-A0A4-38E3AB92A296}"/>
    <cellStyle name="Heading1" xfId="375" xr:uid="{129D7374-FBE0-4986-A324-9FE4374598FA}"/>
    <cellStyle name="Heading1 2" xfId="376" xr:uid="{95F92832-97E0-428C-AF90-59AFDEF03543}"/>
    <cellStyle name="Heading2" xfId="377" xr:uid="{A292AF87-2569-4C88-89DB-890E0593F4E8}"/>
    <cellStyle name="Heading2 2" xfId="378" xr:uid="{5C2DF754-11A4-4CA8-A492-BAE8E7D82C58}"/>
    <cellStyle name="HIGHLIGHT" xfId="379" xr:uid="{FC8784EF-C2A8-427E-AA12-819F5B9E3533}"/>
    <cellStyle name="Hyperlink" xfId="7" builtinId="8"/>
    <cellStyle name="Hyperlink 2" xfId="208" xr:uid="{84AC43ED-9DFD-4BCD-847F-08DE650F8E05}"/>
    <cellStyle name="Hyperlink 2 2" xfId="328" xr:uid="{539E5F67-EF2D-48A5-84ED-1ED4A1EA194F}"/>
    <cellStyle name="Hyperlink 2 3" xfId="318" xr:uid="{9990BE4E-FB05-4E76-9FF0-891EF8D1047A}"/>
    <cellStyle name="Hyperlink 3" xfId="325" xr:uid="{2EB1B3A1-92CA-4987-836A-16DD59C89A5F}"/>
    <cellStyle name="Hyperlink 4" xfId="317" xr:uid="{4DCC441B-57D3-4980-9701-EAA3808CD89F}"/>
    <cellStyle name="Hyperlink 5" xfId="43" xr:uid="{B838ECBC-2AF9-41DA-A765-766C2253573E}"/>
    <cellStyle name="Input [yellow]" xfId="380" xr:uid="{C69C7DF9-AA84-4058-B682-5742DC1A2D1F}"/>
    <cellStyle name="Input 2" xfId="210" xr:uid="{DFC4839D-DA78-4AC8-9C36-01E4BD61432E}"/>
    <cellStyle name="Input 2 2" xfId="381" xr:uid="{A9F9BBD2-754F-4E80-A048-0F0C3EF61583}"/>
    <cellStyle name="Input 3" xfId="211" xr:uid="{2C2BC86B-BDA6-438C-BD1B-37A36C02ED5A}"/>
    <cellStyle name="Input 4" xfId="209" xr:uid="{CDBE62DE-E509-436C-9ABE-DD9ACC0F004C}"/>
    <cellStyle name="Input 5" xfId="44" xr:uid="{D9F3E3FF-C842-464D-B589-F432C093B8EF}"/>
    <cellStyle name="Input 6" xfId="403" xr:uid="{D33553D3-E6B2-4582-B788-B53E0F297698}"/>
    <cellStyle name="Linked Cell 2" xfId="213" xr:uid="{9C6E8584-7EF5-4A3A-AAC1-93CCEF5FBAA3}"/>
    <cellStyle name="Linked Cell 2 2" xfId="382" xr:uid="{C19C81F0-C438-48D8-8048-ADC9F33CF3D7}"/>
    <cellStyle name="Linked Cell 3" xfId="214" xr:uid="{70D7DD22-4327-4B7C-90E1-9E941B515AE9}"/>
    <cellStyle name="Linked Cell 4" xfId="212" xr:uid="{817A1061-E2B9-48D3-BB2A-493BFF7D6B77}"/>
    <cellStyle name="Linked Cell 5" xfId="45" xr:uid="{CE79E386-FCEA-470E-BC77-A4EB357235F9}"/>
    <cellStyle name="Multiple" xfId="215" xr:uid="{B6022880-887E-44A0-895E-84EAAC459A66}"/>
    <cellStyle name="Neutral 2" xfId="217" xr:uid="{574D47F3-089D-4B83-B341-E094FC4C79E0}"/>
    <cellStyle name="Neutral 2 2" xfId="383" xr:uid="{26E542EF-4D52-4D36-8694-E7B02A90D60A}"/>
    <cellStyle name="Neutral 3" xfId="218" xr:uid="{2BA18572-CB71-4AC3-97AF-E01A063BD8FE}"/>
    <cellStyle name="Neutral 4" xfId="216" xr:uid="{A33CD9CB-E117-41BC-8EDA-B3F5B5D27EB4}"/>
    <cellStyle name="Neutral 5" xfId="46" xr:uid="{1B3FC195-039C-4E6E-B0AE-02F40626EDB1}"/>
    <cellStyle name="no dec" xfId="384" xr:uid="{482441CC-7D79-4C48-8490-A8019F77C39E}"/>
    <cellStyle name="Normal" xfId="0" builtinId="0"/>
    <cellStyle name="Normal - Style1" xfId="385" xr:uid="{2DBA395B-0FB8-4303-95CD-8873BED0017C}"/>
    <cellStyle name="Normal 2" xfId="6" xr:uid="{00000000-0005-0000-0000-000004000000}"/>
    <cellStyle name="Normal 3" xfId="219" xr:uid="{5114F36B-4205-43CF-86C6-3C313F41F55E}"/>
    <cellStyle name="Normal 4" xfId="220" xr:uid="{FDE10813-89AD-4A4C-ABFB-D0B59427CCEA}"/>
    <cellStyle name="Normal 4 2" xfId="386" xr:uid="{18F9BE94-8D7E-41A7-AC5A-6939B08D95B5}"/>
    <cellStyle name="Normal 5" xfId="3" xr:uid="{00000000-0005-0000-0000-000005000000}"/>
    <cellStyle name="Normal 5 2" xfId="387" xr:uid="{769A4307-69AF-4367-B2DE-799A7FD0016A}"/>
    <cellStyle name="Normal 6" xfId="321" xr:uid="{62BB03F6-11DC-421B-B140-986DEB755497}"/>
    <cellStyle name="Normal 7" xfId="313" xr:uid="{71C3F3B1-FA0D-4783-9E2A-113C333AD641}"/>
    <cellStyle name="Normal 8" xfId="310" xr:uid="{A3F115DA-F2F1-4426-B10C-A8D1338BE8C1}"/>
    <cellStyle name="Normal_DB_Interface" xfId="2" xr:uid="{00000000-0005-0000-0000-000006000000}"/>
    <cellStyle name="Note 2" xfId="222" xr:uid="{5CB1D04D-CA78-4219-9245-7BE14BBEC16E}"/>
    <cellStyle name="Note 3" xfId="223" xr:uid="{64AD4CD8-43E4-4295-A38F-14BEF21EBAB0}"/>
    <cellStyle name="Note 4" xfId="224" xr:uid="{AB86A8C5-3444-4617-9233-378A52BDB1B0}"/>
    <cellStyle name="Note 5" xfId="221" xr:uid="{4E8CEBDC-D0D4-4EF4-8071-8769125012CA}"/>
    <cellStyle name="Note 6" xfId="326" xr:uid="{550801AF-11AF-4C34-8D96-93B2B418C8B4}"/>
    <cellStyle name="Note 7" xfId="319" xr:uid="{E1FF8AB2-7FC1-4205-A45A-ED8F4AAEF378}"/>
    <cellStyle name="Note 8" xfId="47" xr:uid="{91DCE61D-6BD0-47CF-969A-81BB4A91DFE9}"/>
    <cellStyle name="Output 2" xfId="226" xr:uid="{B6332F9B-B777-4E02-B4A7-E8B99B9CE3B7}"/>
    <cellStyle name="Output 2 2" xfId="388" xr:uid="{C9A7138C-139E-481B-97F8-0810BEA349C3}"/>
    <cellStyle name="Output 3" xfId="227" xr:uid="{953DE406-A980-487E-9941-4D369D8514DC}"/>
    <cellStyle name="Output 4" xfId="225" xr:uid="{90D4148C-294E-412B-AFE2-CF8F16522B29}"/>
    <cellStyle name="Output 5" xfId="48" xr:uid="{A199B75B-3A47-4946-924E-BAFDBD599BCB}"/>
    <cellStyle name="Page Number" xfId="228" xr:uid="{7FB98031-F112-485F-BA0D-4F6304406B5B}"/>
    <cellStyle name="Percent [2]" xfId="389" xr:uid="{96ED01DA-BCBA-42A1-B009-8FB19DE0AEB1}"/>
    <cellStyle name="Percent [2] 2" xfId="390" xr:uid="{F49FCF90-9AAE-4C96-B071-FE9A84523FD7}"/>
    <cellStyle name="Percent 10" xfId="327" xr:uid="{A26AEE1F-37AE-4B6C-8104-8096105FED92}"/>
    <cellStyle name="Percent 11" xfId="320" xr:uid="{4BFE5450-843A-47FA-90E7-F2356E34D4E4}"/>
    <cellStyle name="Percent 12" xfId="49" xr:uid="{700C4011-9148-4686-9B4E-E22422AC6774}"/>
    <cellStyle name="Percent 13" xfId="404" xr:uid="{91433699-B281-4A00-BC0E-7D112F119390}"/>
    <cellStyle name="Percent 2" xfId="50" xr:uid="{56EE8A74-8507-4C8B-A044-FE6B4D648771}"/>
    <cellStyle name="Percent 2 2" xfId="391" xr:uid="{76A0D80D-8C02-447C-ABC9-B65FE27A37AF}"/>
    <cellStyle name="Percent 3" xfId="229" xr:uid="{6E0A2B4F-9F68-466A-A6FD-7D132AC2D3CA}"/>
    <cellStyle name="Percent 4" xfId="230" xr:uid="{6A57512E-78D2-4DEF-B5F3-46C2D1DCE2E7}"/>
    <cellStyle name="Percent 4 2" xfId="231" xr:uid="{056E06D6-1363-4945-9E03-EFA3A5104CE8}"/>
    <cellStyle name="Percent 4 3" xfId="232" xr:uid="{5A2D31F5-C5ED-47ED-AB6D-6025EA84AA8B}"/>
    <cellStyle name="Percent 5" xfId="233" xr:uid="{95875A2D-0F08-4721-A80F-6E517DCD0844}"/>
    <cellStyle name="Percent 5 2" xfId="234" xr:uid="{FDFF2895-81CF-47A9-A52B-4DA34FD5A8E5}"/>
    <cellStyle name="Percent 6" xfId="235" xr:uid="{4883B182-1ED8-4334-963F-0500945EC3D7}"/>
    <cellStyle name="Percent 6 2" xfId="236" xr:uid="{C18B8E80-56CE-4756-99E6-54A3FD4954A0}"/>
    <cellStyle name="Percent 7" xfId="237" xr:uid="{7663763E-3A26-45F4-9FB3-A8E121E4B989}"/>
    <cellStyle name="Percent 7 2" xfId="238" xr:uid="{E614FBC5-239A-42B7-9011-CA263C2B956F}"/>
    <cellStyle name="Percent 8" xfId="239" xr:uid="{25593A2D-D943-4F6B-BC25-C96C564026E3}"/>
    <cellStyle name="Percent 9" xfId="312" xr:uid="{3903CA61-DD9F-4DA9-B9AB-B7A767699890}"/>
    <cellStyle name="PSChar" xfId="51" xr:uid="{BF272111-D904-4C86-8D65-DDB2102BAAAA}"/>
    <cellStyle name="PSChar 2" xfId="240" xr:uid="{C830D8F5-DE17-44E9-9C4D-3E83701FD86C}"/>
    <cellStyle name="PSChar 3" xfId="241" xr:uid="{8A24088F-A306-472F-8C9B-35147F2C2F78}"/>
    <cellStyle name="PSChar 4" xfId="242" xr:uid="{375A9A0C-8B4F-4ADC-9A3E-C757B1B727F9}"/>
    <cellStyle name="PSChar 4 2" xfId="243" xr:uid="{5CE62B54-02BD-4542-99B0-20B1EAF047EE}"/>
    <cellStyle name="PSChar 5" xfId="244" xr:uid="{BC225716-393F-4EBB-AEBA-817E5180C9E6}"/>
    <cellStyle name="PSChar 5 2" xfId="245" xr:uid="{AE8557DF-9EA1-4E95-B079-5C772AD947CF}"/>
    <cellStyle name="PSChar 6" xfId="329" xr:uid="{FC55F89A-3150-4A79-8A9E-FE954F831D63}"/>
    <cellStyle name="PSDate" xfId="52" xr:uid="{2DE4A16B-CEEA-4EF4-B326-0F5D8FC7B9C1}"/>
    <cellStyle name="PSDate 2" xfId="246" xr:uid="{A259BEE1-A937-4BF2-83D9-C50DFC780262}"/>
    <cellStyle name="PSDate 3" xfId="247" xr:uid="{4E6A3286-EDB8-4173-A945-B472DB01EF98}"/>
    <cellStyle name="PSDate 4" xfId="248" xr:uid="{8EB43016-8C09-4862-A35A-9E9D5425CB6F}"/>
    <cellStyle name="PSDate 4 2" xfId="249" xr:uid="{4F4703E1-E76F-4952-BF6E-446C3F95726A}"/>
    <cellStyle name="PSDate 5" xfId="250" xr:uid="{5FDBAA49-231D-47C4-8452-1903870E2F94}"/>
    <cellStyle name="PSDate 5 2" xfId="251" xr:uid="{8DE365B5-E8FE-49F2-ACC1-2F5FCA62FEDF}"/>
    <cellStyle name="PSDate 6" xfId="330" xr:uid="{F6CC2D5E-2C6F-48ED-A8CC-1211A2D86D4D}"/>
    <cellStyle name="PSDec" xfId="53" xr:uid="{ADD298FF-FB78-433E-8339-648879D42B6E}"/>
    <cellStyle name="PSDec 2" xfId="252" xr:uid="{893F0282-8E31-47AC-B4D1-B35746E7B09E}"/>
    <cellStyle name="PSDec 3" xfId="253" xr:uid="{026C3469-8262-413E-B0E4-A5C4B3F9A1FA}"/>
    <cellStyle name="PSDec 4" xfId="254" xr:uid="{086A9FF7-BBA1-4591-8CA6-DDA4C01334F4}"/>
    <cellStyle name="PSDec 4 2" xfId="255" xr:uid="{791D44B9-E72F-47BF-BCD8-9DBAE6A5C112}"/>
    <cellStyle name="PSDec 5" xfId="256" xr:uid="{8CAE4F74-084B-4D4C-9ECC-9A59D9CCB137}"/>
    <cellStyle name="PSDec 5 2" xfId="257" xr:uid="{B69A50C5-EE24-4A78-BB27-59E1BDAA6EDD}"/>
    <cellStyle name="PSDec 6" xfId="331" xr:uid="{CA2181BC-D0FD-4A35-8988-80A6628F80B8}"/>
    <cellStyle name="PSHeading" xfId="54" xr:uid="{8B9D9BDC-18C2-464E-AA30-B90E1E6288F9}"/>
    <cellStyle name="PSHeading 2" xfId="258" xr:uid="{9D5B44BF-8169-458E-BE46-A6793C84F2D9}"/>
    <cellStyle name="PSHeading 3" xfId="259" xr:uid="{98AFF6EE-1090-46CF-9B2B-D753BF24CC76}"/>
    <cellStyle name="PSHeading 4" xfId="260" xr:uid="{C26BDDE9-E921-44F2-9038-CA69BA1E862D}"/>
    <cellStyle name="PSHeading 4 2" xfId="261" xr:uid="{C5AAB871-2A76-412B-BAF5-C4FD8B87793C}"/>
    <cellStyle name="PSHeading 4_July2012_Access_to_Capital_Scenarios_Cost Tables 7132012" xfId="262" xr:uid="{03369A87-6B5B-4A67-BDBB-5081B0D29FC4}"/>
    <cellStyle name="PSHeading 5" xfId="263" xr:uid="{54D13801-D682-4BDE-AB22-25984DC70DFE}"/>
    <cellStyle name="PSHeading 5 2" xfId="264" xr:uid="{1710391F-D63F-4D3D-9B16-BB21D2C18F92}"/>
    <cellStyle name="PSHeading 6" xfId="332" xr:uid="{1C1DEE8F-325E-4BDB-8C38-C7195030BEA2}"/>
    <cellStyle name="PSHeading_358_CGS_Lewis_UT_70Conserv" xfId="265" xr:uid="{C0C1A90C-85AF-45A0-A810-39F3D8B79DA1}"/>
    <cellStyle name="PSInt" xfId="55" xr:uid="{2A6B27C6-0308-4226-882C-8B1F5E2E68D6}"/>
    <cellStyle name="PSInt 2" xfId="266" xr:uid="{52DF1CE7-F6BB-49EB-A377-8FAE50EB1E18}"/>
    <cellStyle name="PSInt 3" xfId="267" xr:uid="{0FC3FB8B-0778-4CCA-8B41-BC05A73C2B03}"/>
    <cellStyle name="PSInt 4" xfId="268" xr:uid="{0BCCC3E2-C347-4F4E-956E-562F29D18150}"/>
    <cellStyle name="PSInt 4 2" xfId="269" xr:uid="{812658F7-4B91-420D-B773-0DB8C375A3E9}"/>
    <cellStyle name="PSInt 5" xfId="270" xr:uid="{A1422A9E-6501-4441-8771-C8D41090B55F}"/>
    <cellStyle name="PSInt 5 2" xfId="271" xr:uid="{DBE53940-2E99-4F6D-A5C2-DFF2583643CD}"/>
    <cellStyle name="PSInt 6" xfId="333" xr:uid="{5C8A8162-85F0-4F6A-A10A-8A0F2342B67A}"/>
    <cellStyle name="PSSpacer" xfId="56" xr:uid="{24C5762D-0CB0-448D-8CC8-58EAD2DE0168}"/>
    <cellStyle name="PSSpacer 2" xfId="272" xr:uid="{1BD0F118-9DA7-4D5E-A6E9-616165229BE9}"/>
    <cellStyle name="PSSpacer 3" xfId="273" xr:uid="{339FCC2D-66A9-4D3E-A4C0-57FE2C05B4AE}"/>
    <cellStyle name="PSSpacer 4" xfId="274" xr:uid="{DE039B08-0DE0-45E6-AAFC-3DA94E7D0151}"/>
    <cellStyle name="PSSpacer 4 2" xfId="275" xr:uid="{08E6718F-21A5-4644-A368-1C510607EA62}"/>
    <cellStyle name="PSSpacer 5" xfId="276" xr:uid="{0885A51E-321E-4325-9D84-E77080DBD07D}"/>
    <cellStyle name="PSSpacer 5 2" xfId="277" xr:uid="{A3368C5A-E79A-407B-8EE3-30B27AEA56E3}"/>
    <cellStyle name="PSSpacer 6" xfId="334" xr:uid="{49210839-F7D0-4563-8A38-7B4503B4E894}"/>
    <cellStyle name="Rate" xfId="278" xr:uid="{E0B39BF8-3C0C-4B51-84BB-05AF5C87D957}"/>
    <cellStyle name="Rate 2" xfId="279" xr:uid="{5BF33861-D658-4C97-BC59-B85C16550CE4}"/>
    <cellStyle name="Rate 3" xfId="280" xr:uid="{2A321301-0655-4EDA-8D8C-40E72EA96348}"/>
    <cellStyle name="Rate 4" xfId="281" xr:uid="{0163A5B4-E5BC-4B57-A448-1D09FAC9FB22}"/>
    <cellStyle name="Rate 4 2" xfId="282" xr:uid="{DFA5F6C5-3916-4BB3-BF4D-388F4F4F6927}"/>
    <cellStyle name="Rate 5" xfId="283" xr:uid="{0BD0BF51-02B5-485A-ADF9-09E63066BAE4}"/>
    <cellStyle name="Rate 5 2" xfId="284" xr:uid="{A7FAC404-F66D-4C15-97A4-95DCE3FA1964}"/>
    <cellStyle name="Rate 6" xfId="285" xr:uid="{ACB2FC43-0202-40E0-AA2D-59664A393194}"/>
    <cellStyle name="Reference" xfId="286" xr:uid="{3C758B08-C750-4300-A24B-C57375A5ADEA}"/>
    <cellStyle name="SectionBreak" xfId="287" xr:uid="{FBFE7D3E-3B64-4013-A418-4D6B56DD0DC9}"/>
    <cellStyle name="SectionBreak 2" xfId="288" xr:uid="{ABC43600-5938-4A99-AD05-E8C2CB2A4741}"/>
    <cellStyle name="SectionBreak 3" xfId="289" xr:uid="{5A838257-4397-41F0-A9F6-95F4D6F98062}"/>
    <cellStyle name="SectionBreak 4" xfId="290" xr:uid="{F3DBBDD7-FAB1-46A5-B6C4-3B5CDEEFEA04}"/>
    <cellStyle name="SectionBreak 4 2" xfId="291" xr:uid="{B757D76A-AA5B-4CCE-8F0C-0D13BABD8311}"/>
    <cellStyle name="SectionBreak 5" xfId="292" xr:uid="{A5AE7BCF-1692-4CE5-AF6D-CE4231EE9209}"/>
    <cellStyle name="SectionBreak 5 2" xfId="293" xr:uid="{F1DB79C4-8228-428A-82CF-E3DDDF3CD161}"/>
    <cellStyle name="shaded" xfId="5" xr:uid="{00000000-0005-0000-0000-000007000000}"/>
    <cellStyle name="Style 27" xfId="392" xr:uid="{414577C1-2F37-4263-BED5-3489420AB939}"/>
    <cellStyle name="Style 27 2" xfId="393" xr:uid="{8ABC62CA-6DA0-42EF-A2AB-C4A71595C577}"/>
    <cellStyle name="Style 28" xfId="394" xr:uid="{4FFEC34F-0548-47E0-AC68-B5FBB4C55E8E}"/>
    <cellStyle name="Style 28 2" xfId="395" xr:uid="{90A82F89-A5AD-4390-8D2A-0077E51E6ACF}"/>
    <cellStyle name="Table Head" xfId="294" xr:uid="{0317E045-611A-4C4A-9C8E-C2ADEC7A3FF1}"/>
    <cellStyle name="Table Head Aligned" xfId="295" xr:uid="{ACD2D0DD-592B-43D2-9120-82F857B8BFCB}"/>
    <cellStyle name="Table Head Blue" xfId="296" xr:uid="{572B046C-38EF-468D-AA72-A696EC9DCAC8}"/>
    <cellStyle name="Table Head Green" xfId="297" xr:uid="{9CB5817B-2A08-4143-AB55-CDCE48DC9364}"/>
    <cellStyle name="Table Heading" xfId="298" xr:uid="{36FCBCEC-8197-4795-B932-E1FE026AA475}"/>
    <cellStyle name="Table Heading 2" xfId="299" xr:uid="{3F2BFB36-4B7D-40A4-8DFF-C80364EF0985}"/>
    <cellStyle name="Table Title" xfId="300" xr:uid="{B33BF68C-88C7-4129-8A5E-BCA31B5613A4}"/>
    <cellStyle name="Table Units" xfId="301" xr:uid="{F7E5E7D0-D1BA-4FE0-BCCE-39362C4468FF}"/>
    <cellStyle name="Table Units 2" xfId="302" xr:uid="{6D7D4885-2B62-40CB-ACA7-AC98E0E34D0A}"/>
    <cellStyle name="Title 2" xfId="303" xr:uid="{3DBCF3A3-7AA0-4CEE-9597-D9F7860896DE}"/>
    <cellStyle name="Title 3" xfId="57" xr:uid="{BFF86252-CD0A-42C7-A464-4BC4B73E2183}"/>
    <cellStyle name="Total 2" xfId="305" xr:uid="{244523C8-AA04-4FC9-8EBB-A1A22C4BBD09}"/>
    <cellStyle name="Total 2 2" xfId="396" xr:uid="{1BC5B591-EAA1-4819-9395-D45F0A0F452E}"/>
    <cellStyle name="Total 3" xfId="306" xr:uid="{A46FFB48-F031-4515-A48C-BCE6B804DA3C}"/>
    <cellStyle name="Total 4" xfId="304" xr:uid="{97CE8D2F-9F68-4622-AFDC-3F5A74E55923}"/>
    <cellStyle name="Total 5" xfId="58" xr:uid="{69F45E96-406D-465B-8750-212567E077B6}"/>
    <cellStyle name="Unprot" xfId="397" xr:uid="{BF57A1A2-F499-4724-AA53-8F53F631DC02}"/>
    <cellStyle name="Unprot$" xfId="398" xr:uid="{76D0B1DF-6928-4542-927F-C3FED688DE9E}"/>
    <cellStyle name="Unprot_Current Summary" xfId="399" xr:uid="{F86E0D55-923B-4589-AC0E-DFE8727DD7FA}"/>
    <cellStyle name="Unprotect" xfId="400" xr:uid="{9F015B9B-CF28-4E89-9B89-3660A84CA143}"/>
    <cellStyle name="v" xfId="401" xr:uid="{68ECFADD-D185-483B-BF8E-920D44617B8C}"/>
    <cellStyle name="Warning Text 2" xfId="308" xr:uid="{BBF10742-F21D-46FD-92E4-0134CC7B9CFF}"/>
    <cellStyle name="Warning Text 2 2" xfId="402" xr:uid="{6EA68795-434F-483C-B3EF-F1F5C22C588E}"/>
    <cellStyle name="Warning Text 3" xfId="309" xr:uid="{49B23739-EAB8-4866-BCD9-B1B8FAF971DB}"/>
    <cellStyle name="Warning Text 4" xfId="307" xr:uid="{6E082214-E7A6-4F9A-B32C-06C3F3BFA0EB}"/>
    <cellStyle name="Warning Text 5" xfId="59" xr:uid="{649F6412-8629-4FC2-B540-5FD5021DECB2}"/>
  </cellStyles>
  <dxfs count="4">
    <dxf>
      <fill>
        <patternFill patternType="mediumGray">
          <fgColor theme="0" tint="-4.9989318521683403E-2"/>
          <bgColor indexed="22"/>
        </patternFill>
      </fill>
    </dxf>
    <dxf>
      <fill>
        <patternFill patternType="mediumGray">
          <fgColor theme="0" tint="-4.9989318521683403E-2"/>
          <bgColor indexed="22"/>
        </patternFill>
      </fill>
    </dxf>
    <dxf>
      <fill>
        <patternFill patternType="mediumGray">
          <fgColor theme="0" tint="-4.9989318521683403E-2"/>
          <bgColor indexed="22"/>
        </patternFill>
      </fill>
    </dxf>
    <dxf>
      <fill>
        <patternFill patternType="mediumGray">
          <fgColor theme="0" tint="-4.9989318521683403E-2"/>
          <bgColor indexed="22"/>
        </patternFill>
      </fill>
    </dxf>
  </dxfs>
  <tableStyles count="0" defaultTableStyle="TableStyleMedium2" defaultPivotStyle="PivotStyleLight16"/>
  <colors>
    <mruColors>
      <color rgb="FFD9D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</a:t>
            </a:r>
            <a:r>
              <a:rPr lang="en-US" baseline="0"/>
              <a:t> available transmission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available_transmission!$A$19</c:f>
              <c:strCache>
                <c:ptCount val="1"/>
                <c:pt idx="0">
                  <c:v>HLH17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available_transmission!$B$18:$M$18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available_transmission!$B$19:$M$19</c:f>
              <c:numCache>
                <c:formatCode>#,##0.0_);[Red]\(#,##0.0\)</c:formatCode>
                <c:ptCount val="12"/>
                <c:pt idx="0">
                  <c:v>601.5625</c:v>
                </c:pt>
                <c:pt idx="1">
                  <c:v>507.03125</c:v>
                </c:pt>
                <c:pt idx="2">
                  <c:v>614.5302734375</c:v>
                </c:pt>
                <c:pt idx="3">
                  <c:v>517.96123046875005</c:v>
                </c:pt>
                <c:pt idx="4">
                  <c:v>562.71158854166663</c:v>
                </c:pt>
                <c:pt idx="5">
                  <c:v>474.28548177083331</c:v>
                </c:pt>
                <c:pt idx="6">
                  <c:v>480.91785024007157</c:v>
                </c:pt>
                <c:pt idx="7">
                  <c:v>570.58050028483069</c:v>
                </c:pt>
                <c:pt idx="8">
                  <c:v>618.76627604166663</c:v>
                </c:pt>
                <c:pt idx="9">
                  <c:v>521.53157552083326</c:v>
                </c:pt>
                <c:pt idx="10">
                  <c:v>337.22058461507157</c:v>
                </c:pt>
                <c:pt idx="11">
                  <c:v>400.09221903483069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44A5-9776-CDD840E03F61}"/>
            </c:ext>
          </c:extLst>
        </c:ser>
        <c:ser>
          <c:idx val="1"/>
          <c:order val="1"/>
          <c:tx>
            <c:strRef>
              <c:f>available_transmission!$A$20</c:f>
              <c:strCache>
                <c:ptCount val="1"/>
                <c:pt idx="0">
                  <c:v>HLH18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available_transmission!$B$18:$M$18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available_transmission!$B$20:$M$20</c:f>
              <c:numCache>
                <c:formatCode>#,##0.0_);[Red]\(#,##0.0\)</c:formatCode>
                <c:ptCount val="12"/>
                <c:pt idx="0">
                  <c:v>523.61539713541663</c:v>
                </c:pt>
                <c:pt idx="1">
                  <c:v>621.23860677083326</c:v>
                </c:pt>
                <c:pt idx="2">
                  <c:v>459.71798070271814</c:v>
                </c:pt>
                <c:pt idx="3">
                  <c:v>559.6566721598308</c:v>
                </c:pt>
                <c:pt idx="4">
                  <c:v>452.41007486979163</c:v>
                </c:pt>
                <c:pt idx="5">
                  <c:v>550.76009114583326</c:v>
                </c:pt>
                <c:pt idx="6">
                  <c:v>504.41211700439453</c:v>
                </c:pt>
                <c:pt idx="7">
                  <c:v>614.06692504882813</c:v>
                </c:pt>
                <c:pt idx="8">
                  <c:v>449.58686955769855</c:v>
                </c:pt>
                <c:pt idx="9">
                  <c:v>547.32314554850257</c:v>
                </c:pt>
                <c:pt idx="10">
                  <c:v>479.15730794270837</c:v>
                </c:pt>
                <c:pt idx="11">
                  <c:v>583.32194010416674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8-44A5-9776-CDD840E03F61}"/>
            </c:ext>
          </c:extLst>
        </c:ser>
        <c:ser>
          <c:idx val="2"/>
          <c:order val="2"/>
          <c:tx>
            <c:strRef>
              <c:f>available_transmission!$A$21</c:f>
              <c:strCache>
                <c:ptCount val="1"/>
                <c:pt idx="0">
                  <c:v>LLH17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available_transmission!$B$18:$M$18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available_transmission!$B$21:$M$21</c:f>
              <c:numCache>
                <c:formatCode>#,##0.0_);[Red]\(#,##0.0\)</c:formatCode>
                <c:ptCount val="12"/>
                <c:pt idx="0">
                  <c:v>589.56162007649743</c:v>
                </c:pt>
                <c:pt idx="1">
                  <c:v>496.916222635905</c:v>
                </c:pt>
                <c:pt idx="2">
                  <c:v>627.97456868489576</c:v>
                </c:pt>
                <c:pt idx="3">
                  <c:v>529.2928507486979</c:v>
                </c:pt>
                <c:pt idx="4">
                  <c:v>573.81364949544275</c:v>
                </c:pt>
                <c:pt idx="5">
                  <c:v>483.64293314615884</c:v>
                </c:pt>
                <c:pt idx="6">
                  <c:v>487.50970662434901</c:v>
                </c:pt>
                <c:pt idx="7">
                  <c:v>578.40134684244799</c:v>
                </c:pt>
                <c:pt idx="8">
                  <c:v>634.278798421224</c:v>
                </c:pt>
                <c:pt idx="9">
                  <c:v>534.60641581217442</c:v>
                </c:pt>
                <c:pt idx="10">
                  <c:v>331.44821268717448</c:v>
                </c:pt>
                <c:pt idx="11">
                  <c:v>393.24364217122394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8-44A5-9776-CDD840E03F61}"/>
            </c:ext>
          </c:extLst>
        </c:ser>
        <c:ser>
          <c:idx val="3"/>
          <c:order val="3"/>
          <c:tx>
            <c:strRef>
              <c:f>available_transmission!$A$22</c:f>
              <c:strCache>
                <c:ptCount val="1"/>
                <c:pt idx="0">
                  <c:v>LLH18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available_transmission!$B$18:$M$18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available_transmission!$B$22:$M$22</c:f>
              <c:numCache>
                <c:formatCode>#,##0.0_);[Red]\(#,##0.0\)</c:formatCode>
                <c:ptCount val="12"/>
                <c:pt idx="0">
                  <c:v>518.19193929036453</c:v>
                </c:pt>
                <c:pt idx="1">
                  <c:v>614.80399576822913</c:v>
                </c:pt>
                <c:pt idx="2">
                  <c:v>449.37264251708984</c:v>
                </c:pt>
                <c:pt idx="3">
                  <c:v>547.06234741210938</c:v>
                </c:pt>
                <c:pt idx="4">
                  <c:v>440.17199325561523</c:v>
                </c:pt>
                <c:pt idx="5">
                  <c:v>535.86155700683594</c:v>
                </c:pt>
                <c:pt idx="6">
                  <c:v>486.67944081624347</c:v>
                </c:pt>
                <c:pt idx="7">
                  <c:v>592.47931925455725</c:v>
                </c:pt>
                <c:pt idx="8">
                  <c:v>473.8359375</c:v>
                </c:pt>
                <c:pt idx="9">
                  <c:v>576.84375</c:v>
                </c:pt>
                <c:pt idx="10">
                  <c:v>501.61099243164063</c:v>
                </c:pt>
                <c:pt idx="11">
                  <c:v>610.6568603515625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8-44A5-9776-CDD840E0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85112"/>
        <c:axId val="984326888"/>
      </c:lineChart>
      <c:catAx>
        <c:axId val="9141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6888"/>
        <c:crosses val="autoZero"/>
        <c:auto val="1"/>
        <c:lblAlgn val="ctr"/>
        <c:lblOffset val="100"/>
        <c:noMultiLvlLbl val="0"/>
      </c:catAx>
      <c:valAx>
        <c:axId val="9843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8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expenses!$E$4:$O$4</c:f>
              <c:numCache>
                <c:formatCode>_("$"* #,##0.00_);_("$"* \(#,##0.00\);_("$"* "-"??_);_(@_)</c:formatCode>
                <c:ptCount val="11"/>
                <c:pt idx="0">
                  <c:v>677500</c:v>
                </c:pt>
                <c:pt idx="1">
                  <c:v>293100</c:v>
                </c:pt>
                <c:pt idx="2">
                  <c:v>49600</c:v>
                </c:pt>
                <c:pt idx="3">
                  <c:v>121702</c:v>
                </c:pt>
                <c:pt idx="4">
                  <c:v>227043</c:v>
                </c:pt>
                <c:pt idx="5">
                  <c:v>498748</c:v>
                </c:pt>
                <c:pt idx="6">
                  <c:v>364388</c:v>
                </c:pt>
                <c:pt idx="7">
                  <c:v>308277</c:v>
                </c:pt>
                <c:pt idx="8">
                  <c:v>270525</c:v>
                </c:pt>
                <c:pt idx="9">
                  <c:v>189882</c:v>
                </c:pt>
                <c:pt idx="10">
                  <c:v>142423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2-4E24-A557-A8DB37F0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53344"/>
        <c:axId val="750454328"/>
      </c:lineChart>
      <c:catAx>
        <c:axId val="7504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54328"/>
        <c:crosses val="autoZero"/>
        <c:auto val="1"/>
        <c:lblAlgn val="ctr"/>
        <c:lblOffset val="100"/>
        <c:noMultiLvlLbl val="0"/>
      </c:catAx>
      <c:valAx>
        <c:axId val="7504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expenses!$E$5:$O$5</c:f>
              <c:numCache>
                <c:formatCode>_("$"* #,##0.00_);_("$"* \(#,##0.00\);_("$"* "-"??_);_(@_)</c:formatCode>
                <c:ptCount val="11"/>
                <c:pt idx="0">
                  <c:v>207300</c:v>
                </c:pt>
                <c:pt idx="1">
                  <c:v>246800</c:v>
                </c:pt>
                <c:pt idx="2">
                  <c:v>298100</c:v>
                </c:pt>
                <c:pt idx="3">
                  <c:v>287292</c:v>
                </c:pt>
                <c:pt idx="4">
                  <c:v>260138</c:v>
                </c:pt>
                <c:pt idx="5">
                  <c:v>289871</c:v>
                </c:pt>
                <c:pt idx="6">
                  <c:v>242300</c:v>
                </c:pt>
                <c:pt idx="7">
                  <c:v>272359</c:v>
                </c:pt>
                <c:pt idx="8">
                  <c:v>243342</c:v>
                </c:pt>
                <c:pt idx="9">
                  <c:v>218429</c:v>
                </c:pt>
                <c:pt idx="10">
                  <c:v>227968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DA0-9FBA-FF05E371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43176"/>
        <c:axId val="750447768"/>
      </c:lineChart>
      <c:catAx>
        <c:axId val="75044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7768"/>
        <c:crosses val="autoZero"/>
        <c:auto val="1"/>
        <c:lblAlgn val="ctr"/>
        <c:lblOffset val="100"/>
        <c:noMultiLvlLbl val="0"/>
      </c:catAx>
      <c:valAx>
        <c:axId val="750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expenses!$E$3:$O$3</c:f>
              <c:numCache>
                <c:formatCode>_("$"* #,##0.00_);_("$"* \(#,##0.00\);_("$"* "-"??_);_(@_)</c:formatCode>
                <c:ptCount val="11"/>
                <c:pt idx="0">
                  <c:v>287100</c:v>
                </c:pt>
                <c:pt idx="1">
                  <c:v>0</c:v>
                </c:pt>
                <c:pt idx="2">
                  <c:v>319000</c:v>
                </c:pt>
                <c:pt idx="3">
                  <c:v>212300</c:v>
                </c:pt>
                <c:pt idx="4">
                  <c:v>206898</c:v>
                </c:pt>
                <c:pt idx="5">
                  <c:v>167800</c:v>
                </c:pt>
                <c:pt idx="6">
                  <c:v>328600</c:v>
                </c:pt>
                <c:pt idx="7">
                  <c:v>370000</c:v>
                </c:pt>
                <c:pt idx="8">
                  <c:v>255000</c:v>
                </c:pt>
                <c:pt idx="9">
                  <c:v>393460</c:v>
                </c:pt>
                <c:pt idx="10">
                  <c:v>404600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514-A313-5E3A6FCE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48096"/>
        <c:axId val="750445472"/>
      </c:lineChart>
      <c:catAx>
        <c:axId val="7504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5472"/>
        <c:crosses val="autoZero"/>
        <c:auto val="1"/>
        <c:lblAlgn val="ctr"/>
        <c:lblOffset val="100"/>
        <c:noMultiLvlLbl val="0"/>
      </c:catAx>
      <c:valAx>
        <c:axId val="7504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res_ba!$B$1:$X$1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res_ba!$B$4:$X$4</c:f>
              <c:numCache>
                <c:formatCode>General</c:formatCode>
                <c:ptCount val="23"/>
                <c:pt idx="0">
                  <c:v>1.2368000000000001</c:v>
                </c:pt>
                <c:pt idx="1">
                  <c:v>1.0615000000000001</c:v>
                </c:pt>
                <c:pt idx="2">
                  <c:v>0.98</c:v>
                </c:pt>
                <c:pt idx="3">
                  <c:v>1.7520000000000007</c:v>
                </c:pt>
                <c:pt idx="4">
                  <c:v>1.5500000000000003</c:v>
                </c:pt>
                <c:pt idx="5">
                  <c:v>1.6700000000000004</c:v>
                </c:pt>
                <c:pt idx="6">
                  <c:v>1.9700000000000002</c:v>
                </c:pt>
                <c:pt idx="7">
                  <c:v>2.21</c:v>
                </c:pt>
                <c:pt idx="8">
                  <c:v>2.2640000000000002</c:v>
                </c:pt>
                <c:pt idx="9">
                  <c:v>5.3800000000000008</c:v>
                </c:pt>
                <c:pt idx="10">
                  <c:v>5.19</c:v>
                </c:pt>
                <c:pt idx="11">
                  <c:v>4.76</c:v>
                </c:pt>
                <c:pt idx="13">
                  <c:v>3.81</c:v>
                </c:pt>
                <c:pt idx="14">
                  <c:v>3.46</c:v>
                </c:pt>
                <c:pt idx="15">
                  <c:v>3.05</c:v>
                </c:pt>
                <c:pt idx="16">
                  <c:v>2.94</c:v>
                </c:pt>
                <c:pt idx="18">
                  <c:v>2.69</c:v>
                </c:pt>
                <c:pt idx="19">
                  <c:v>2.17</c:v>
                </c:pt>
                <c:pt idx="20">
                  <c:v>2.42</c:v>
                </c:pt>
                <c:pt idx="21">
                  <c:v>2.0499999999999998</c:v>
                </c:pt>
                <c:pt idx="22">
                  <c:v>12.07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4457-85EB-2E30AAF8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2127"/>
        <c:axId val="2140850463"/>
      </c:scatterChart>
      <c:valAx>
        <c:axId val="214085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40850463"/>
        <c:crosses val="autoZero"/>
        <c:crossBetween val="midCat"/>
      </c:valAx>
      <c:valAx>
        <c:axId val="2140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/>
                  <a:t>Borrowing Authority</a:t>
                </a:r>
                <a:r>
                  <a:rPr lang="en-US" sz="1200" baseline="0"/>
                  <a:t> Available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14085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 available transmission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available_transmission!$A$26</c:f>
              <c:strCache>
                <c:ptCount val="1"/>
                <c:pt idx="0">
                  <c:v>HLH17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available_transmission!$B$25:$M$25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available_transmission!$B$26:$M$26</c:f>
              <c:numCache>
                <c:formatCode>#,##0.0_);[Red]\(#,##0.0\)</c:formatCode>
                <c:ptCount val="12"/>
                <c:pt idx="0">
                  <c:v>44.995398100858893</c:v>
                </c:pt>
                <c:pt idx="1">
                  <c:v>86.142110315168864</c:v>
                </c:pt>
                <c:pt idx="2">
                  <c:v>71.136993597753289</c:v>
                </c:pt>
                <c:pt idx="3">
                  <c:v>87.115251813616069</c:v>
                </c:pt>
                <c:pt idx="4">
                  <c:v>79.321966135723997</c:v>
                </c:pt>
                <c:pt idx="5">
                  <c:v>91.08651676533384</c:v>
                </c:pt>
                <c:pt idx="6">
                  <c:v>81.464737222801816</c:v>
                </c:pt>
                <c:pt idx="7">
                  <c:v>48.509055190945269</c:v>
                </c:pt>
                <c:pt idx="8">
                  <c:v>84.093675696331516</c:v>
                </c:pt>
                <c:pt idx="9">
                  <c:v>76.141731593919843</c:v>
                </c:pt>
                <c:pt idx="10">
                  <c:v>64.969022194050851</c:v>
                </c:pt>
                <c:pt idx="11">
                  <c:v>77.350300095836573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6-4855-AF5A-49F78C2D16B6}"/>
            </c:ext>
          </c:extLst>
        </c:ser>
        <c:ser>
          <c:idx val="1"/>
          <c:order val="1"/>
          <c:tx>
            <c:strRef>
              <c:f>available_transmission!$A$27</c:f>
              <c:strCache>
                <c:ptCount val="1"/>
                <c:pt idx="0">
                  <c:v>HLH18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available_transmission!$B$25:$M$25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available_transmission!$B$27:$M$27</c:f>
              <c:numCache>
                <c:formatCode>#,##0.0_);[Red]\(#,##0.0\)</c:formatCode>
                <c:ptCount val="12"/>
                <c:pt idx="0">
                  <c:v>39.679577371348508</c:v>
                </c:pt>
                <c:pt idx="1">
                  <c:v>86.452072996530475</c:v>
                </c:pt>
                <c:pt idx="2">
                  <c:v>70.880822223165765</c:v>
                </c:pt>
                <c:pt idx="3">
                  <c:v>275.10079520089283</c:v>
                </c:pt>
                <c:pt idx="4">
                  <c:v>87.115251813616069</c:v>
                </c:pt>
                <c:pt idx="5">
                  <c:v>244.93245189974766</c:v>
                </c:pt>
                <c:pt idx="6">
                  <c:v>77.561943101586763</c:v>
                </c:pt>
                <c:pt idx="7">
                  <c:v>91.08651676533384</c:v>
                </c:pt>
                <c:pt idx="8">
                  <c:v>287.64163189052795</c:v>
                </c:pt>
                <c:pt idx="9">
                  <c:v>81.431214895307647</c:v>
                </c:pt>
                <c:pt idx="10">
                  <c:v>257.15120493255046</c:v>
                </c:pt>
                <c:pt idx="11">
                  <c:v>153.18649007666926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6-4855-AF5A-49F78C2D16B6}"/>
            </c:ext>
          </c:extLst>
        </c:ser>
        <c:ser>
          <c:idx val="2"/>
          <c:order val="2"/>
          <c:tx>
            <c:strRef>
              <c:f>available_transmission!$A$28</c:f>
              <c:strCache>
                <c:ptCount val="1"/>
                <c:pt idx="0">
                  <c:v>LLH17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available_transmission!$B$25:$M$25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available_transmission!$B$28:$M$28</c:f>
              <c:numCache>
                <c:formatCode>#,##0.0_);[Red]\(#,##0.0\)</c:formatCode>
                <c:ptCount val="12"/>
                <c:pt idx="0">
                  <c:v>33.319165910993306</c:v>
                </c:pt>
                <c:pt idx="1">
                  <c:v>87.116533930997676</c:v>
                </c:pt>
                <c:pt idx="2">
                  <c:v>57.339649461070948</c:v>
                </c:pt>
                <c:pt idx="3">
                  <c:v>87.32338700383346</c:v>
                </c:pt>
                <c:pt idx="4">
                  <c:v>78.521204598942163</c:v>
                </c:pt>
                <c:pt idx="5">
                  <c:v>91.497514618109477</c:v>
                </c:pt>
                <c:pt idx="6">
                  <c:v>85.008401621942937</c:v>
                </c:pt>
                <c:pt idx="7">
                  <c:v>47.527241392905665</c:v>
                </c:pt>
                <c:pt idx="8">
                  <c:v>89.000785495923907</c:v>
                </c:pt>
                <c:pt idx="9">
                  <c:v>81.351413892663047</c:v>
                </c:pt>
                <c:pt idx="10">
                  <c:v>67.094174971491654</c:v>
                </c:pt>
                <c:pt idx="11">
                  <c:v>85.570869398413237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6-4855-AF5A-49F78C2D16B6}"/>
            </c:ext>
          </c:extLst>
        </c:ser>
        <c:ser>
          <c:idx val="3"/>
          <c:order val="3"/>
          <c:tx>
            <c:strRef>
              <c:f>available_transmission!$A$29</c:f>
              <c:strCache>
                <c:ptCount val="1"/>
                <c:pt idx="0">
                  <c:v>LLH18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available_transmission!$B$25:$M$25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available_transmission!$B$29:$M$29</c:f>
              <c:numCache>
                <c:formatCode>#,##0.0_);[Red]\(#,##0.0\)</c:formatCode>
                <c:ptCount val="12"/>
                <c:pt idx="0">
                  <c:v>40.406923282220497</c:v>
                </c:pt>
                <c:pt idx="1">
                  <c:v>86.703245553911103</c:v>
                </c:pt>
                <c:pt idx="2">
                  <c:v>57.681214895307647</c:v>
                </c:pt>
                <c:pt idx="3">
                  <c:v>275.75806422263196</c:v>
                </c:pt>
                <c:pt idx="4">
                  <c:v>87.32338700383346</c:v>
                </c:pt>
                <c:pt idx="5">
                  <c:v>255.37230687111801</c:v>
                </c:pt>
                <c:pt idx="6">
                  <c:v>80.86789717585404</c:v>
                </c:pt>
                <c:pt idx="7">
                  <c:v>91.497514618109477</c:v>
                </c:pt>
                <c:pt idx="8">
                  <c:v>288.93951984666148</c:v>
                </c:pt>
                <c:pt idx="9">
                  <c:v>85.053088454726321</c:v>
                </c:pt>
                <c:pt idx="10">
                  <c:v>268.58870038334629</c:v>
                </c:pt>
                <c:pt idx="11">
                  <c:v>150.08602545128105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6-4855-AF5A-49F78C2D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08256"/>
        <c:axId val="495213176"/>
      </c:lineChart>
      <c:catAx>
        <c:axId val="4952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13176"/>
        <c:crosses val="autoZero"/>
        <c:auto val="1"/>
        <c:lblAlgn val="ctr"/>
        <c:lblOffset val="100"/>
        <c:noMultiLvlLbl val="0"/>
      </c:catAx>
      <c:valAx>
        <c:axId val="4952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costs!$B$2:$M$2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AVERAGE</c:v>
                </c:pt>
              </c:strCache>
            </c:strRef>
          </c:cat>
          <c:val>
            <c:numRef>
              <c:f>costs!$B$3:$M$3</c:f>
              <c:numCache>
                <c:formatCode>_("$"* #,##0.00_);_("$"* \(#,##0.00\);_("$"* "-"??_);_(@_)</c:formatCode>
                <c:ptCount val="12"/>
                <c:pt idx="0">
                  <c:v>1913226.3862006965</c:v>
                </c:pt>
                <c:pt idx="1">
                  <c:v>1980402.4684806298</c:v>
                </c:pt>
                <c:pt idx="2">
                  <c:v>2082060</c:v>
                </c:pt>
                <c:pt idx="3">
                  <c:v>2144024.0665980717</c:v>
                </c:pt>
                <c:pt idx="4">
                  <c:v>2114337.5236307066</c:v>
                </c:pt>
                <c:pt idx="5">
                  <c:v>2217741.9845026769</c:v>
                </c:pt>
                <c:pt idx="6">
                  <c:v>2278102.6378233959</c:v>
                </c:pt>
                <c:pt idx="7">
                  <c:v>2232928.8177673318</c:v>
                </c:pt>
                <c:pt idx="8">
                  <c:v>2056349.2818634599</c:v>
                </c:pt>
                <c:pt idx="9">
                  <c:v>2142864.9036303088</c:v>
                </c:pt>
                <c:pt idx="10">
                  <c:v>1959062.3540323279</c:v>
                </c:pt>
                <c:pt idx="11">
                  <c:v>2133861.5990233649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9-488A-BDF9-9C0D457D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823432"/>
        <c:axId val="547820480"/>
      </c:lineChart>
      <c:catAx>
        <c:axId val="5478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0480"/>
        <c:crosses val="autoZero"/>
        <c:auto val="1"/>
        <c:lblAlgn val="ctr"/>
        <c:lblOffset val="100"/>
        <c:noMultiLvlLbl val="0"/>
      </c:catAx>
      <c:valAx>
        <c:axId val="547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PF_rates!$M$2:$M$13</c:f>
              <c:numCache>
                <c:formatCode>General</c:formatCode>
                <c:ptCount val="12"/>
                <c:pt idx="0">
                  <c:v>36.606999999999992</c:v>
                </c:pt>
                <c:pt idx="1">
                  <c:v>38.291000000000004</c:v>
                </c:pt>
                <c:pt idx="2">
                  <c:v>41.185000000000002</c:v>
                </c:pt>
                <c:pt idx="3">
                  <c:v>37.950000000000003</c:v>
                </c:pt>
                <c:pt idx="4">
                  <c:v>37.929999999999993</c:v>
                </c:pt>
                <c:pt idx="5">
                  <c:v>33.969000000000008</c:v>
                </c:pt>
                <c:pt idx="6">
                  <c:v>30.952999999999996</c:v>
                </c:pt>
                <c:pt idx="7">
                  <c:v>24.883999999999997</c:v>
                </c:pt>
                <c:pt idx="8">
                  <c:v>23.018999999999998</c:v>
                </c:pt>
                <c:pt idx="9">
                  <c:v>34.311</c:v>
                </c:pt>
                <c:pt idx="10">
                  <c:v>37.903999999999996</c:v>
                </c:pt>
                <c:pt idx="11">
                  <c:v>37.101999999999997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359-8065-EE290CE4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627856"/>
        <c:axId val="945628184"/>
      </c:lineChart>
      <c:catAx>
        <c:axId val="9456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28184"/>
        <c:crosses val="autoZero"/>
        <c:auto val="1"/>
        <c:lblAlgn val="ctr"/>
        <c:lblOffset val="100"/>
        <c:noMultiLvlLbl val="0"/>
      </c:catAx>
      <c:valAx>
        <c:axId val="945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PF_rates!$I$35:$I$40</c:f>
              <c:numCache>
                <c:formatCode>General</c:formatCode>
                <c:ptCount val="6"/>
                <c:pt idx="0">
                  <c:v>28.673333333333332</c:v>
                </c:pt>
                <c:pt idx="1">
                  <c:v>31.264166666666668</c:v>
                </c:pt>
                <c:pt idx="2">
                  <c:v>33.932499999999997</c:v>
                </c:pt>
                <c:pt idx="3">
                  <c:v>35.460833333333333</c:v>
                </c:pt>
                <c:pt idx="4">
                  <c:v>34.134999999999998</c:v>
                </c:pt>
                <c:pt idx="5">
                  <c:v>33.352083333333326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0D7-A608-2C36F8BAF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82287"/>
        <c:axId val="626778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PF_rates!$J$35:$J$40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2014</c:v>
                      </c:pt>
                      <c:pt idx="2">
                        <c:v>2016</c:v>
                      </c:pt>
                      <c:pt idx="3">
                        <c:v>2018</c:v>
                      </c:pt>
                      <c:pt idx="4">
                        <c:v>2020</c:v>
                      </c:pt>
                      <c:pt idx="5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E6-40D7-A608-2C36F8BAFBA6}"/>
                  </c:ext>
                </c:extLst>
              </c15:ser>
            </c15:filteredLineSeries>
          </c:ext>
        </c:extLst>
      </c:lineChart>
      <c:catAx>
        <c:axId val="62678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78127"/>
        <c:crosses val="autoZero"/>
        <c:auto val="1"/>
        <c:lblAlgn val="ctr"/>
        <c:lblOffset val="100"/>
        <c:noMultiLvlLbl val="0"/>
      </c:catAx>
      <c:valAx>
        <c:axId val="6267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PF_rates!$B$1:$L$1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PF_rates!$B$15:$L$15</c:f>
              <c:numCache>
                <c:formatCode>General</c:formatCode>
                <c:ptCount val="11"/>
                <c:pt idx="0">
                  <c:v>28.673333333333336</c:v>
                </c:pt>
                <c:pt idx="1">
                  <c:v>28.673333333333336</c:v>
                </c:pt>
                <c:pt idx="2">
                  <c:v>31.264166666666664</c:v>
                </c:pt>
                <c:pt idx="3">
                  <c:v>31.264166666666664</c:v>
                </c:pt>
                <c:pt idx="4">
                  <c:v>33.932500000000005</c:v>
                </c:pt>
                <c:pt idx="5">
                  <c:v>33.932500000000005</c:v>
                </c:pt>
                <c:pt idx="6">
                  <c:v>35.460833333333333</c:v>
                </c:pt>
                <c:pt idx="7">
                  <c:v>35.460833333333333</c:v>
                </c:pt>
                <c:pt idx="8">
                  <c:v>34.135000000000005</c:v>
                </c:pt>
                <c:pt idx="9">
                  <c:v>34.135000000000005</c:v>
                </c:pt>
                <c:pt idx="10">
                  <c:v>33.352083333333326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9-4A30-9F96-8F9D4B60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40255"/>
        <c:axId val="399640671"/>
      </c:scatterChart>
      <c:valAx>
        <c:axId val="39964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9640671"/>
        <c:crosses val="autoZero"/>
        <c:crossBetween val="midCat"/>
      </c:valAx>
      <c:valAx>
        <c:axId val="3996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Electricity Rate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9964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Power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Validation!$A$5:$G$5</c:f>
              <c:numCache>
                <c:formatCode>#,##0</c:formatCode>
                <c:ptCount val="7"/>
                <c:pt idx="0">
                  <c:v>2388623</c:v>
                </c:pt>
                <c:pt idx="1">
                  <c:v>2371881</c:v>
                </c:pt>
                <c:pt idx="2">
                  <c:v>2535332</c:v>
                </c:pt>
                <c:pt idx="3">
                  <c:v>2354000</c:v>
                </c:pt>
                <c:pt idx="4">
                  <c:v>2380300</c:v>
                </c:pt>
                <c:pt idx="5">
                  <c:v>2518400</c:v>
                </c:pt>
                <c:pt idx="6">
                  <c:v>2639100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96D-906D-05E1EB57EEC9}"/>
            </c:ext>
          </c:extLst>
        </c:ser>
        <c:ser>
          <c:idx val="2"/>
          <c:order val="2"/>
          <c:tx>
            <c:v>Simulated2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Validation!$A$8:$G$8</c:f>
              <c:numCache>
                <c:formatCode>#,##0</c:formatCode>
                <c:ptCount val="7"/>
                <c:pt idx="0">
                  <c:v>2394687.3003505599</c:v>
                </c:pt>
                <c:pt idx="1">
                  <c:v>2457215.2607364799</c:v>
                </c:pt>
                <c:pt idx="2">
                  <c:v>2555218.4728988102</c:v>
                </c:pt>
                <c:pt idx="3">
                  <c:v>2318059.82581753</c:v>
                </c:pt>
                <c:pt idx="4">
                  <c:v>2339723.2721952698</c:v>
                </c:pt>
                <c:pt idx="5">
                  <c:v>2577275.3448320599</c:v>
                </c:pt>
                <c:pt idx="6">
                  <c:v>2579437.4544041599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4-496D-906D-05E1EB57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0208"/>
        <c:axId val="1418194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Simulated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Validation!$A$2:$G$2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Validation!$A$7:$G$7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2295846.7115146802</c:v>
                      </c:pt>
                      <c:pt idx="1">
                        <c:v>2461233.93690034</c:v>
                      </c:pt>
                      <c:pt idx="2">
                        <c:v>2488618.194048</c:v>
                      </c:pt>
                      <c:pt idx="3">
                        <c:v>2288920.1826142101</c:v>
                      </c:pt>
                      <c:pt idx="4">
                        <c:v>2319331.1993203703</c:v>
                      </c:pt>
                      <c:pt idx="5">
                        <c:v>2580522.9711011699</c:v>
                      </c:pt>
                      <c:pt idx="6">
                        <c:v>2593587.7638052301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94-496D-906D-05E1EB57EEC9}"/>
                  </c:ext>
                </c:extLst>
              </c15:ser>
            </c15:filteredBarSeries>
          </c:ext>
        </c:extLst>
      </c:barChart>
      <c:catAx>
        <c:axId val="19418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94832"/>
        <c:crosses val="autoZero"/>
        <c:auto val="1"/>
        <c:lblAlgn val="ctr"/>
        <c:lblOffset val="100"/>
        <c:noMultiLvlLbl val="0"/>
      </c:catAx>
      <c:valAx>
        <c:axId val="1418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Validation!$A$10:$G$10</c:f>
              <c:numCache>
                <c:formatCode>#,##0</c:formatCode>
                <c:ptCount val="7"/>
                <c:pt idx="0">
                  <c:v>475.39661379930357</c:v>
                </c:pt>
                <c:pt idx="1">
                  <c:v>391.47853151937016</c:v>
                </c:pt>
                <c:pt idx="2">
                  <c:v>453.27199999999999</c:v>
                </c:pt>
                <c:pt idx="3">
                  <c:v>209.9759334019283</c:v>
                </c:pt>
                <c:pt idx="4">
                  <c:v>265.96247636929343</c:v>
                </c:pt>
                <c:pt idx="5">
                  <c:v>300.65801549732311</c:v>
                </c:pt>
                <c:pt idx="6">
                  <c:v>360.9973621766041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7-466C-80DE-E8D446511261}"/>
            </c:ext>
          </c:extLst>
        </c:ser>
        <c:ser>
          <c:idx val="1"/>
          <c:order val="1"/>
          <c:tx>
            <c:v>Simulated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Validation!$A$2:$G$2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Validation!$A$12:$G$12</c:f>
              <c:numCache>
                <c:formatCode>#,##0</c:formatCode>
                <c:ptCount val="7"/>
                <c:pt idx="0">
                  <c:v>481.46091414986341</c:v>
                </c:pt>
                <c:pt idx="1">
                  <c:v>476.81279225585007</c:v>
                </c:pt>
                <c:pt idx="2">
                  <c:v>473.1584728988102</c:v>
                </c:pt>
                <c:pt idx="3">
                  <c:v>174.03575921945833</c:v>
                </c:pt>
                <c:pt idx="4">
                  <c:v>225.38574856456324</c:v>
                </c:pt>
                <c:pt idx="5">
                  <c:v>359.53336032938307</c:v>
                </c:pt>
                <c:pt idx="6">
                  <c:v>301.33481658076403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7-466C-80DE-E8D44651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80208"/>
        <c:axId val="1418194832"/>
      </c:barChart>
      <c:catAx>
        <c:axId val="19418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94832"/>
        <c:crosses val="autoZero"/>
        <c:auto val="1"/>
        <c:lblAlgn val="ctr"/>
        <c:lblOffset val="100"/>
        <c:noMultiLvlLbl val="0"/>
      </c:catAx>
      <c:valAx>
        <c:axId val="1418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8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expenses!$E$1:$O$1</c:f>
              <c:numCache>
                <c:formatCode>General</c:formatCode>
                <c:ptCount val="11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</c:numCache>
            </c:numRef>
          </c:xVal>
          <c:yVal>
            <c:numRef>
              <c:f>expenses!$E$2:$O$2</c:f>
              <c:numCache>
                <c:formatCode>_("$"* #,##0.00_);_("$"* \(#,##0.00\);_("$"* "-"??_);_(@_)</c:formatCode>
                <c:ptCount val="11"/>
                <c:pt idx="0">
                  <c:v>3032400</c:v>
                </c:pt>
                <c:pt idx="1">
                  <c:v>2984400</c:v>
                </c:pt>
                <c:pt idx="2">
                  <c:v>2857300</c:v>
                </c:pt>
                <c:pt idx="3">
                  <c:v>2712486</c:v>
                </c:pt>
                <c:pt idx="4">
                  <c:v>2896696</c:v>
                </c:pt>
                <c:pt idx="5">
                  <c:v>3161175</c:v>
                </c:pt>
                <c:pt idx="6">
                  <c:v>2988798</c:v>
                </c:pt>
                <c:pt idx="7">
                  <c:v>2930733</c:v>
                </c:pt>
                <c:pt idx="8">
                  <c:v>2939370</c:v>
                </c:pt>
                <c:pt idx="9">
                  <c:v>2752905</c:v>
                </c:pt>
                <c:pt idx="10">
                  <c:v>2543805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405-B303-C3639370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44616"/>
        <c:axId val="741047240"/>
      </c:scatterChart>
      <c:valAx>
        <c:axId val="7410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7240"/>
        <c:crosses val="autoZero"/>
        <c:crossBetween val="midCat"/>
      </c:valAx>
      <c:valAx>
        <c:axId val="7410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4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271930</xdr:colOff>
      <xdr:row>17</xdr:row>
      <xdr:rowOff>135405</xdr:rowOff>
    </xdr:from>
    <xdr:to>
      <xdr:col>18</xdr:col>
      <xdr:colOff>473635</xdr:colOff>
      <xdr:row>32</xdr:row>
      <xdr:rowOff>116355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54400</xdr:colOff>
      <xdr:row>17</xdr:row>
      <xdr:rowOff>167155</xdr:rowOff>
    </xdr:from>
    <xdr:to>
      <xdr:col>26</xdr:col>
      <xdr:colOff>354717</xdr:colOff>
      <xdr:row>32</xdr:row>
      <xdr:rowOff>148105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10</xdr:row>
      <xdr:rowOff>133350</xdr:rowOff>
    </xdr:from>
    <xdr:to>
      <xdr:col>17</xdr:col>
      <xdr:colOff>428625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473075</xdr:colOff>
      <xdr:row>5</xdr:row>
      <xdr:rowOff>66675</xdr:rowOff>
    </xdr:from>
    <xdr:to>
      <xdr:col>27</xdr:col>
      <xdr:colOff>168275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68490</xdr:colOff>
      <xdr:row>36</xdr:row>
      <xdr:rowOff>102055</xdr:rowOff>
    </xdr:from>
    <xdr:to>
      <xdr:col>20</xdr:col>
      <xdr:colOff>371476</xdr:colOff>
      <xdr:row>51</xdr:row>
      <xdr:rowOff>83004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EAA64-C17B-092C-21EC-E58F4757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494392</xdr:colOff>
      <xdr:row>11</xdr:row>
      <xdr:rowOff>25399</xdr:rowOff>
    </xdr:from>
    <xdr:to>
      <xdr:col>16</xdr:col>
      <xdr:colOff>517072</xdr:colOff>
      <xdr:row>28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08C67-7AAD-CC78-0CFC-24FA38E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582704</xdr:colOff>
      <xdr:row>17</xdr:row>
      <xdr:rowOff>17369</xdr:rowOff>
    </xdr:from>
    <xdr:to>
      <xdr:col>17</xdr:col>
      <xdr:colOff>193300</xdr:colOff>
      <xdr:row>37</xdr:row>
      <xdr:rowOff>107016</xdr:rowOff>
    </xdr:to>
    <xdr:graphicFrame macro="">
      <xdr:nvGraphicFramePr>
        <xdr:cNvPr id="139" name="Chart 5">
          <a:extLst>
            <a:ext uri="{FF2B5EF4-FFF2-40B4-BE49-F238E27FC236}">
              <a16:creationId xmlns:a16="http://schemas.microsoft.com/office/drawing/2014/main" id="{A8DBAD8C-1F5B-49AB-93BA-125FB3381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493059</xdr:colOff>
      <xdr:row>34</xdr:row>
      <xdr:rowOff>89647</xdr:rowOff>
    </xdr:to>
    <xdr:graphicFrame macro="">
      <xdr:nvGraphicFramePr>
        <xdr:cNvPr id="138" name="Chart 6">
          <a:extLst>
            <a:ext uri="{FF2B5EF4-FFF2-40B4-BE49-F238E27FC236}">
              <a16:creationId xmlns:a16="http://schemas.microsoft.com/office/drawing/2014/main" id="{E0192C02-CD97-4EEC-A5DC-43670C60E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339725</xdr:colOff>
      <xdr:row>6</xdr:row>
      <xdr:rowOff>142875</xdr:rowOff>
    </xdr:from>
    <xdr:to>
      <xdr:col>26</xdr:col>
      <xdr:colOff>34925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14</xdr:row>
      <xdr:rowOff>57150</xdr:rowOff>
    </xdr:from>
    <xdr:to>
      <xdr:col>21</xdr:col>
      <xdr:colOff>447675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11</xdr:row>
      <xdr:rowOff>161925</xdr:rowOff>
    </xdr:from>
    <xdr:to>
      <xdr:col>17</xdr:col>
      <xdr:colOff>152400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12</xdr:row>
      <xdr:rowOff>123825</xdr:rowOff>
    </xdr:from>
    <xdr:to>
      <xdr:col>23</xdr:col>
      <xdr:colOff>28575</xdr:colOff>
      <xdr:row>27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13</xdr:row>
      <xdr:rowOff>168275</xdr:rowOff>
    </xdr:from>
    <xdr:to>
      <xdr:col>12</xdr:col>
      <xdr:colOff>454025</xdr:colOff>
      <xdr:row>28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5AFB7-3B52-6B04-72D8-725F7272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bpa.gov/energy-and-services/rate-and-tariff-proceedings/power-rat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a.gov/energy-and-services/rate-and-tariff-proceedings/power-rat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zoomScale="82" zoomScaleNormal="82" workbookViewId="0">
      <selection activeCell="A7" sqref="A7"/>
    </sheetView>
  </sheetViews>
  <sheetFormatPr defaultRowHeight="14.5"/>
  <cols>
    <col min="1" max="1" width="41.7265625" bestFit="1" customWidth="1"/>
    <col min="2" max="5" width="8.453125" bestFit="1" customWidth="1"/>
    <col min="6" max="7" width="7.81640625" bestFit="1" customWidth="1"/>
    <col min="11" max="11" width="9.453125" customWidth="1"/>
    <col min="12" max="13" width="9.1796875" bestFit="1" customWidth="1"/>
    <col min="14" max="14" width="8.7265625" customWidth="1"/>
  </cols>
  <sheetData>
    <row r="1" spans="1:22" ht="18.5">
      <c r="A1" s="5" t="s">
        <v>0</v>
      </c>
      <c r="B1" s="5"/>
      <c r="C1" s="5"/>
      <c r="D1" s="5"/>
      <c r="E1" s="5"/>
      <c r="F1" s="5"/>
      <c r="G1" s="5"/>
    </row>
    <row r="2" spans="1:22" ht="15" thickBot="1">
      <c r="B2" s="127" t="s">
        <v>1</v>
      </c>
      <c r="C2" s="127"/>
      <c r="D2" s="132" t="s">
        <v>2</v>
      </c>
      <c r="E2" s="132"/>
      <c r="F2" s="131" t="s">
        <v>3</v>
      </c>
      <c r="G2" s="131"/>
      <c r="H2" s="130" t="s">
        <v>4</v>
      </c>
      <c r="I2" s="130"/>
      <c r="J2" s="128" t="s">
        <v>5</v>
      </c>
      <c r="K2" s="128"/>
      <c r="L2" s="129" t="s">
        <v>6</v>
      </c>
      <c r="M2" s="129"/>
      <c r="N2" s="129"/>
      <c r="O2" s="129"/>
      <c r="P2" s="129"/>
      <c r="Q2" s="129"/>
      <c r="R2" s="129"/>
      <c r="S2" s="129"/>
      <c r="T2" s="129"/>
    </row>
    <row r="3" spans="1:22" ht="15" thickBot="1">
      <c r="A3" s="8" t="s">
        <v>7</v>
      </c>
      <c r="B3" s="14">
        <v>2010</v>
      </c>
      <c r="C3" s="14">
        <v>2011</v>
      </c>
      <c r="D3" s="54">
        <v>2012</v>
      </c>
      <c r="E3" s="54">
        <v>2013</v>
      </c>
      <c r="F3" s="47">
        <v>2014</v>
      </c>
      <c r="G3" s="47">
        <v>2015</v>
      </c>
      <c r="H3" s="43">
        <v>2016</v>
      </c>
      <c r="I3" s="28">
        <v>2017</v>
      </c>
      <c r="J3" s="36">
        <v>2018</v>
      </c>
      <c r="K3" s="36">
        <v>2019</v>
      </c>
      <c r="L3" s="21">
        <v>2020</v>
      </c>
      <c r="M3" s="21">
        <v>2021</v>
      </c>
      <c r="N3" s="21">
        <v>2022</v>
      </c>
      <c r="O3" s="21">
        <v>2023</v>
      </c>
      <c r="P3" s="21">
        <v>2024</v>
      </c>
      <c r="Q3" s="21">
        <v>2025</v>
      </c>
      <c r="R3" s="21">
        <v>2026</v>
      </c>
      <c r="S3" s="21">
        <v>2027</v>
      </c>
      <c r="T3" s="21">
        <v>2028</v>
      </c>
      <c r="U3" s="104" t="s">
        <v>82</v>
      </c>
    </row>
    <row r="4" spans="1:22">
      <c r="A4" s="7" t="s">
        <v>8</v>
      </c>
      <c r="B4" s="15" t="s">
        <v>9</v>
      </c>
      <c r="C4" s="15" t="s">
        <v>9</v>
      </c>
      <c r="D4" s="55">
        <f>SUM(D5:D7)</f>
        <v>630</v>
      </c>
      <c r="E4" s="55">
        <f>SUM(E5:E7)</f>
        <v>634</v>
      </c>
      <c r="F4" s="48">
        <f>SUM(F5:F7)</f>
        <v>608</v>
      </c>
      <c r="G4" s="48">
        <f>SUM(G5:G7)</f>
        <v>610</v>
      </c>
      <c r="H4" s="29">
        <f t="shared" ref="H4:K4" si="0">SUM(H5:H7)</f>
        <v>389</v>
      </c>
      <c r="I4" s="29">
        <f t="shared" si="0"/>
        <v>393</v>
      </c>
      <c r="J4" s="37">
        <f t="shared" si="0"/>
        <v>357</v>
      </c>
      <c r="K4" s="37">
        <f t="shared" si="0"/>
        <v>399</v>
      </c>
      <c r="L4" s="22">
        <f t="shared" ref="L4" si="1">SUM(L5:L7)</f>
        <v>401.6</v>
      </c>
      <c r="M4" s="22">
        <f t="shared" ref="M4" si="2">SUM(M5:M7)</f>
        <v>405.6</v>
      </c>
      <c r="N4" s="22">
        <f t="shared" ref="N4" si="3">SUM(N5:N7)</f>
        <v>405.6</v>
      </c>
      <c r="O4" s="22">
        <f t="shared" ref="O4" si="4">SUM(O5:O7)</f>
        <v>405.6</v>
      </c>
      <c r="P4" s="22">
        <f t="shared" ref="P4" si="5">SUM(P5:P7)</f>
        <v>404.6</v>
      </c>
      <c r="Q4" s="22">
        <f t="shared" ref="Q4" si="6">SUM(Q5:Q7)</f>
        <v>406.6</v>
      </c>
      <c r="R4" s="22">
        <f t="shared" ref="R4" si="7">SUM(R5:R7)</f>
        <v>407.6</v>
      </c>
      <c r="S4" s="22">
        <f t="shared" ref="S4" si="8">SUM(S5:S7)</f>
        <v>407.6</v>
      </c>
      <c r="T4" s="22">
        <f t="shared" ref="T4" si="9">SUM(T5:T7)</f>
        <v>407.6</v>
      </c>
      <c r="U4" s="105">
        <f>AVERAGE(J4:N4)</f>
        <v>393.75999999999993</v>
      </c>
    </row>
    <row r="5" spans="1:22">
      <c r="A5" s="6" t="s">
        <v>10</v>
      </c>
      <c r="B5" s="15" t="s">
        <v>9</v>
      </c>
      <c r="C5" s="15" t="s">
        <v>9</v>
      </c>
      <c r="D5" s="56">
        <v>116</v>
      </c>
      <c r="E5" s="56">
        <v>119</v>
      </c>
      <c r="F5" s="49">
        <v>116</v>
      </c>
      <c r="G5" s="49">
        <v>118</v>
      </c>
      <c r="H5" s="44">
        <v>115</v>
      </c>
      <c r="I5" s="30">
        <v>118</v>
      </c>
      <c r="J5" s="38">
        <v>113</v>
      </c>
      <c r="K5" s="38">
        <v>128</v>
      </c>
      <c r="L5" s="23">
        <v>135</v>
      </c>
      <c r="M5" s="23">
        <v>138</v>
      </c>
      <c r="N5" s="23">
        <v>138</v>
      </c>
      <c r="O5" s="23">
        <v>138</v>
      </c>
      <c r="P5" s="23">
        <v>138</v>
      </c>
      <c r="Q5" s="23">
        <v>139</v>
      </c>
      <c r="R5" s="23">
        <v>140</v>
      </c>
      <c r="S5" s="23">
        <v>140</v>
      </c>
      <c r="T5" s="23">
        <v>141</v>
      </c>
      <c r="U5" s="105">
        <f t="shared" ref="U5:U18" si="10">AVERAGE(J5:N5)</f>
        <v>130.4</v>
      </c>
    </row>
    <row r="6" spans="1:22">
      <c r="A6" s="6" t="s">
        <v>11</v>
      </c>
      <c r="B6" s="15" t="s">
        <v>9</v>
      </c>
      <c r="C6" s="15" t="s">
        <v>9</v>
      </c>
      <c r="D6" s="56">
        <v>173</v>
      </c>
      <c r="E6" s="56">
        <v>174</v>
      </c>
      <c r="F6" s="49">
        <v>180</v>
      </c>
      <c r="G6" s="49">
        <v>180</v>
      </c>
      <c r="H6" s="44">
        <v>183</v>
      </c>
      <c r="I6" s="30">
        <v>184</v>
      </c>
      <c r="J6" s="38">
        <v>183</v>
      </c>
      <c r="K6" s="38">
        <v>183</v>
      </c>
      <c r="L6" s="23">
        <v>179</v>
      </c>
      <c r="M6" s="23">
        <v>180</v>
      </c>
      <c r="N6" s="23">
        <v>180</v>
      </c>
      <c r="O6" s="23">
        <v>180</v>
      </c>
      <c r="P6" s="23">
        <v>179</v>
      </c>
      <c r="Q6" s="23">
        <v>180</v>
      </c>
      <c r="R6" s="23">
        <v>180</v>
      </c>
      <c r="S6" s="23">
        <v>180</v>
      </c>
      <c r="T6" s="23">
        <v>179</v>
      </c>
      <c r="U6" s="105">
        <f t="shared" si="10"/>
        <v>181</v>
      </c>
    </row>
    <row r="7" spans="1:22" ht="15" thickBot="1">
      <c r="A7" s="9" t="s">
        <v>12</v>
      </c>
      <c r="B7" s="16" t="s">
        <v>9</v>
      </c>
      <c r="C7" s="16" t="s">
        <v>9</v>
      </c>
      <c r="D7" s="57">
        <v>341</v>
      </c>
      <c r="E7" s="57">
        <v>341</v>
      </c>
      <c r="F7" s="50">
        <v>312</v>
      </c>
      <c r="G7" s="50">
        <v>312</v>
      </c>
      <c r="H7" s="45">
        <v>91</v>
      </c>
      <c r="I7" s="31">
        <v>91</v>
      </c>
      <c r="J7" s="39">
        <v>61</v>
      </c>
      <c r="K7" s="39">
        <v>88</v>
      </c>
      <c r="L7" s="24">
        <v>87.6</v>
      </c>
      <c r="M7" s="24">
        <v>87.6</v>
      </c>
      <c r="N7" s="24">
        <v>87.6</v>
      </c>
      <c r="O7" s="24">
        <v>87.6</v>
      </c>
      <c r="P7" s="24">
        <v>87.6</v>
      </c>
      <c r="Q7" s="24">
        <v>87.6</v>
      </c>
      <c r="R7" s="24">
        <v>87.6</v>
      </c>
      <c r="S7" s="24">
        <v>87.6</v>
      </c>
      <c r="T7" s="24">
        <v>87.6</v>
      </c>
      <c r="U7" s="105">
        <f t="shared" si="10"/>
        <v>82.359999999999985</v>
      </c>
    </row>
    <row r="8" spans="1:22">
      <c r="A8" s="12" t="s">
        <v>13</v>
      </c>
      <c r="B8" s="17">
        <f>SUM(B9:B15)</f>
        <v>6846</v>
      </c>
      <c r="C8" s="17">
        <f>SUM(C9:C15)</f>
        <v>6873</v>
      </c>
      <c r="D8" s="58">
        <f>SUM(D9:D15)</f>
        <v>7674</v>
      </c>
      <c r="E8" s="58">
        <f t="shared" ref="E8:K8" si="11">SUM(E9:E15)</f>
        <v>7746</v>
      </c>
      <c r="F8" s="51">
        <f t="shared" si="11"/>
        <v>7582.7</v>
      </c>
      <c r="G8" s="51">
        <f t="shared" si="11"/>
        <v>7551.9000000000005</v>
      </c>
      <c r="H8" s="32">
        <f t="shared" si="11"/>
        <v>7346</v>
      </c>
      <c r="I8" s="32">
        <f t="shared" si="11"/>
        <v>7373</v>
      </c>
      <c r="J8" s="40">
        <f>SUM(J9:J15)</f>
        <v>7459</v>
      </c>
      <c r="K8" s="40">
        <f t="shared" si="11"/>
        <v>7178</v>
      </c>
      <c r="L8" s="25">
        <f t="shared" ref="L8" si="12">SUM(L9:L15)</f>
        <v>7308.1</v>
      </c>
      <c r="M8" s="25">
        <f t="shared" ref="M8" si="13">SUM(M9:M15)</f>
        <v>7333.9</v>
      </c>
      <c r="N8" s="25">
        <f t="shared" ref="N8" si="14">SUM(N9:N15)</f>
        <v>7365.7</v>
      </c>
      <c r="O8" s="25">
        <f t="shared" ref="O8" si="15">SUM(O9:O15)</f>
        <v>7370.7</v>
      </c>
      <c r="P8" s="25">
        <f t="shared" ref="P8" si="16">SUM(P9:P15)</f>
        <v>7394.7</v>
      </c>
      <c r="Q8" s="25">
        <f t="shared" ref="Q8" si="17">SUM(Q9:Q15)</f>
        <v>7405.7</v>
      </c>
      <c r="R8" s="25">
        <f t="shared" ref="R8" si="18">SUM(R9:R15)</f>
        <v>7428.7</v>
      </c>
      <c r="S8" s="25">
        <f t="shared" ref="S8" si="19">SUM(S9:S15)</f>
        <v>7423.7</v>
      </c>
      <c r="T8" s="25">
        <f t="shared" ref="T8" si="20">SUM(T9:T15)</f>
        <v>7434.7</v>
      </c>
      <c r="U8" s="105">
        <f t="shared" si="10"/>
        <v>7328.94</v>
      </c>
    </row>
    <row r="9" spans="1:22">
      <c r="A9" s="6" t="s">
        <v>14</v>
      </c>
      <c r="B9" s="15">
        <f>2032+1414</f>
        <v>3446</v>
      </c>
      <c r="C9" s="15">
        <f>2073+1445</f>
        <v>3518</v>
      </c>
      <c r="D9" s="56">
        <v>3051</v>
      </c>
      <c r="E9" s="56">
        <v>3100</v>
      </c>
      <c r="F9" s="49">
        <v>3106</v>
      </c>
      <c r="G9" s="49">
        <v>3163</v>
      </c>
      <c r="H9" s="44">
        <v>3079</v>
      </c>
      <c r="I9" s="30">
        <v>3081</v>
      </c>
      <c r="J9" s="38">
        <v>2998</v>
      </c>
      <c r="K9" s="38">
        <v>3000</v>
      </c>
      <c r="L9" s="23">
        <v>3214</v>
      </c>
      <c r="M9" s="23">
        <v>3256</v>
      </c>
      <c r="N9" s="23">
        <v>3277</v>
      </c>
      <c r="O9" s="23">
        <v>3291</v>
      </c>
      <c r="P9" s="23">
        <v>3304</v>
      </c>
      <c r="Q9" s="23">
        <v>3319</v>
      </c>
      <c r="R9" s="23">
        <v>3329</v>
      </c>
      <c r="S9" s="23">
        <v>3333</v>
      </c>
      <c r="T9" s="23">
        <v>3334</v>
      </c>
      <c r="U9" s="105">
        <f t="shared" si="10"/>
        <v>3149</v>
      </c>
    </row>
    <row r="10" spans="1:22">
      <c r="A10" s="6" t="s">
        <v>15</v>
      </c>
      <c r="B10" s="15">
        <v>616</v>
      </c>
      <c r="C10" s="15">
        <v>610</v>
      </c>
      <c r="D10" s="59">
        <v>0</v>
      </c>
      <c r="E10" s="56">
        <v>0</v>
      </c>
      <c r="F10" s="49">
        <v>21.7</v>
      </c>
      <c r="G10" s="49">
        <v>26.3</v>
      </c>
      <c r="H10" s="44">
        <v>6</v>
      </c>
      <c r="I10" s="30">
        <v>25</v>
      </c>
      <c r="J10" s="38">
        <v>0</v>
      </c>
      <c r="K10" s="38">
        <v>0</v>
      </c>
      <c r="L10" s="23">
        <v>538</v>
      </c>
      <c r="M10" s="23">
        <v>543</v>
      </c>
      <c r="N10" s="23">
        <v>542</v>
      </c>
      <c r="O10" s="23">
        <v>543</v>
      </c>
      <c r="P10" s="23">
        <v>542</v>
      </c>
      <c r="Q10" s="23">
        <v>543</v>
      </c>
      <c r="R10" s="23">
        <v>542</v>
      </c>
      <c r="S10" s="23">
        <v>543</v>
      </c>
      <c r="T10" s="23">
        <v>542</v>
      </c>
      <c r="U10" s="105">
        <f t="shared" si="10"/>
        <v>324.60000000000002</v>
      </c>
    </row>
    <row r="11" spans="1:22">
      <c r="A11" s="6" t="s">
        <v>16</v>
      </c>
      <c r="B11" s="15">
        <v>1150</v>
      </c>
      <c r="C11" s="15">
        <v>1156</v>
      </c>
      <c r="D11" s="56">
        <v>1934</v>
      </c>
      <c r="E11" s="56">
        <v>1898</v>
      </c>
      <c r="F11" s="49">
        <v>1781</v>
      </c>
      <c r="G11" s="49">
        <v>1842</v>
      </c>
      <c r="H11" s="44">
        <v>1778</v>
      </c>
      <c r="I11" s="30">
        <v>1817</v>
      </c>
      <c r="J11" s="38">
        <v>1759</v>
      </c>
      <c r="K11" s="38">
        <v>1812</v>
      </c>
      <c r="L11" s="23">
        <v>1472</v>
      </c>
      <c r="M11" s="23">
        <v>1503</v>
      </c>
      <c r="N11" s="23">
        <v>1480</v>
      </c>
      <c r="O11" s="23">
        <v>1509</v>
      </c>
      <c r="P11" s="23">
        <v>1485</v>
      </c>
      <c r="Q11" s="23">
        <v>1516</v>
      </c>
      <c r="R11" s="23">
        <v>1494</v>
      </c>
      <c r="S11" s="23">
        <v>1523</v>
      </c>
      <c r="T11" s="23">
        <v>1500</v>
      </c>
      <c r="U11" s="105">
        <f t="shared" si="10"/>
        <v>1605.2</v>
      </c>
    </row>
    <row r="12" spans="1:22">
      <c r="A12" s="6" t="s">
        <v>17</v>
      </c>
      <c r="B12" s="15">
        <v>1634</v>
      </c>
      <c r="C12" s="15">
        <v>1589</v>
      </c>
      <c r="D12" s="56">
        <v>1773</v>
      </c>
      <c r="E12" s="56">
        <v>1849</v>
      </c>
      <c r="F12" s="49">
        <v>1933</v>
      </c>
      <c r="G12" s="49">
        <v>1871</v>
      </c>
      <c r="H12" s="44">
        <v>1860</v>
      </c>
      <c r="I12" s="30">
        <v>1833</v>
      </c>
      <c r="J12" s="38">
        <v>1868</v>
      </c>
      <c r="K12" s="38">
        <v>1826</v>
      </c>
      <c r="L12" s="23">
        <v>1605</v>
      </c>
      <c r="M12" s="23">
        <v>1554</v>
      </c>
      <c r="N12" s="23">
        <v>1590</v>
      </c>
      <c r="O12" s="23">
        <v>1551</v>
      </c>
      <c r="P12" s="23">
        <v>1587</v>
      </c>
      <c r="Q12" s="23">
        <v>1551</v>
      </c>
      <c r="R12" s="23">
        <v>1587</v>
      </c>
      <c r="S12" s="23">
        <v>1548</v>
      </c>
      <c r="T12" s="23">
        <v>1582</v>
      </c>
      <c r="U12" s="105">
        <f t="shared" si="10"/>
        <v>1688.6</v>
      </c>
    </row>
    <row r="13" spans="1:22">
      <c r="A13" s="6" t="s">
        <v>18</v>
      </c>
      <c r="B13" s="15" t="s">
        <v>9</v>
      </c>
      <c r="C13" s="15" t="s">
        <v>9</v>
      </c>
      <c r="D13" s="56">
        <v>625</v>
      </c>
      <c r="E13" s="56">
        <v>608</v>
      </c>
      <c r="F13" s="49">
        <v>596</v>
      </c>
      <c r="G13" s="49">
        <v>556</v>
      </c>
      <c r="H13" s="44">
        <v>519</v>
      </c>
      <c r="I13" s="30">
        <v>512</v>
      </c>
      <c r="J13" s="38">
        <v>505</v>
      </c>
      <c r="K13" s="38">
        <v>478</v>
      </c>
      <c r="L13" s="23">
        <v>464</v>
      </c>
      <c r="M13" s="23">
        <v>466</v>
      </c>
      <c r="N13" s="23">
        <v>466</v>
      </c>
      <c r="O13" s="23">
        <v>466</v>
      </c>
      <c r="P13" s="23">
        <v>466</v>
      </c>
      <c r="Q13" s="23">
        <v>466</v>
      </c>
      <c r="R13" s="23">
        <v>466</v>
      </c>
      <c r="S13" s="23">
        <v>466</v>
      </c>
      <c r="T13" s="23">
        <v>466</v>
      </c>
      <c r="U13" s="105">
        <f t="shared" si="10"/>
        <v>475.8</v>
      </c>
      <c r="V13" t="s">
        <v>128</v>
      </c>
    </row>
    <row r="14" spans="1:22">
      <c r="A14" s="6" t="s">
        <v>19</v>
      </c>
      <c r="B14" s="15" t="s">
        <v>9</v>
      </c>
      <c r="C14" s="15" t="s">
        <v>9</v>
      </c>
      <c r="D14" s="56">
        <v>291</v>
      </c>
      <c r="E14" s="56">
        <v>291</v>
      </c>
      <c r="F14" s="49">
        <v>145</v>
      </c>
      <c r="G14" s="49">
        <v>93.6</v>
      </c>
      <c r="H14" s="44">
        <v>104</v>
      </c>
      <c r="I14" s="30">
        <v>105</v>
      </c>
      <c r="J14" s="38">
        <v>162</v>
      </c>
      <c r="K14" s="38">
        <v>62</v>
      </c>
      <c r="L14" s="23">
        <v>15.1</v>
      </c>
      <c r="M14" s="23">
        <v>11.9</v>
      </c>
      <c r="N14" s="23">
        <v>10.7</v>
      </c>
      <c r="O14" s="23">
        <v>10.7</v>
      </c>
      <c r="P14" s="23">
        <v>10.7</v>
      </c>
      <c r="Q14" s="23">
        <v>10.7</v>
      </c>
      <c r="R14" s="23">
        <v>10.7</v>
      </c>
      <c r="S14" s="23">
        <v>10.7</v>
      </c>
      <c r="T14" s="23">
        <v>10.7</v>
      </c>
      <c r="U14" s="105">
        <f t="shared" si="10"/>
        <v>52.339999999999996</v>
      </c>
    </row>
    <row r="15" spans="1:22" ht="15" thickBot="1">
      <c r="A15" s="13" t="s">
        <v>20</v>
      </c>
      <c r="B15" s="18" t="s">
        <v>9</v>
      </c>
      <c r="C15" s="18" t="s">
        <v>9</v>
      </c>
      <c r="D15" s="60">
        <v>0</v>
      </c>
      <c r="E15" s="60">
        <v>0</v>
      </c>
      <c r="F15" s="52">
        <v>0</v>
      </c>
      <c r="G15" s="52">
        <v>0</v>
      </c>
      <c r="H15" s="46">
        <v>0</v>
      </c>
      <c r="I15" s="33">
        <v>0</v>
      </c>
      <c r="J15" s="41">
        <v>167</v>
      </c>
      <c r="K15" s="41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105">
        <f t="shared" si="10"/>
        <v>33.4</v>
      </c>
    </row>
    <row r="16" spans="1:22" ht="15" thickBot="1">
      <c r="A16" s="11" t="s">
        <v>21</v>
      </c>
      <c r="B16" s="19">
        <v>8896</v>
      </c>
      <c r="C16" s="19">
        <v>8836</v>
      </c>
      <c r="D16" s="61">
        <f t="shared" ref="D16:K16" si="21">SUM(D4,D8)</f>
        <v>8304</v>
      </c>
      <c r="E16" s="61">
        <f t="shared" si="21"/>
        <v>8380</v>
      </c>
      <c r="F16" s="53">
        <f t="shared" si="21"/>
        <v>8190.7</v>
      </c>
      <c r="G16" s="53">
        <f t="shared" si="21"/>
        <v>8161.9000000000005</v>
      </c>
      <c r="H16" s="35">
        <f t="shared" si="21"/>
        <v>7735</v>
      </c>
      <c r="I16" s="34">
        <f t="shared" si="21"/>
        <v>7766</v>
      </c>
      <c r="J16" s="42">
        <f t="shared" si="21"/>
        <v>7816</v>
      </c>
      <c r="K16" s="42">
        <f t="shared" si="21"/>
        <v>7577</v>
      </c>
      <c r="L16" s="27">
        <f t="shared" ref="L16:T16" si="22">SUM(L4,L8)</f>
        <v>7709.7000000000007</v>
      </c>
      <c r="M16" s="27">
        <f t="shared" si="22"/>
        <v>7739.5</v>
      </c>
      <c r="N16" s="27">
        <f t="shared" si="22"/>
        <v>7771.3</v>
      </c>
      <c r="O16" s="27">
        <f t="shared" si="22"/>
        <v>7776.3</v>
      </c>
      <c r="P16" s="27">
        <f t="shared" si="22"/>
        <v>7799.3</v>
      </c>
      <c r="Q16" s="27">
        <f t="shared" si="22"/>
        <v>7812.3</v>
      </c>
      <c r="R16" s="27">
        <f t="shared" si="22"/>
        <v>7836.3</v>
      </c>
      <c r="S16" s="27">
        <f t="shared" si="22"/>
        <v>7831.3</v>
      </c>
      <c r="T16" s="27">
        <f t="shared" si="22"/>
        <v>7842.3</v>
      </c>
      <c r="U16" s="105">
        <f t="shared" si="10"/>
        <v>7722.7</v>
      </c>
    </row>
    <row r="17" spans="1:21" ht="15" thickBot="1">
      <c r="A17" s="11" t="s">
        <v>22</v>
      </c>
      <c r="B17" s="61">
        <f t="shared" ref="B17:C17" si="23">SUM(B5,B9:B12)</f>
        <v>6846</v>
      </c>
      <c r="C17" s="61">
        <f t="shared" si="23"/>
        <v>6873</v>
      </c>
      <c r="D17" s="61">
        <f>SUM(D5,D9:D12)</f>
        <v>6874</v>
      </c>
      <c r="E17" s="61">
        <f>SUM(E5,E9:E12)</f>
        <v>6966</v>
      </c>
      <c r="F17" s="61">
        <f t="shared" ref="F17:T17" si="24">SUM(F5,F9:F12)</f>
        <v>6957.7</v>
      </c>
      <c r="G17" s="61">
        <f t="shared" si="24"/>
        <v>7020.3</v>
      </c>
      <c r="H17" s="61">
        <f t="shared" si="24"/>
        <v>6838</v>
      </c>
      <c r="I17" s="61">
        <f t="shared" si="24"/>
        <v>6874</v>
      </c>
      <c r="J17" s="61">
        <f t="shared" si="24"/>
        <v>6738</v>
      </c>
      <c r="K17" s="61">
        <f t="shared" si="24"/>
        <v>6766</v>
      </c>
      <c r="L17" s="61">
        <f t="shared" si="24"/>
        <v>6964</v>
      </c>
      <c r="M17" s="61">
        <f t="shared" si="24"/>
        <v>6994</v>
      </c>
      <c r="N17" s="61">
        <f t="shared" si="24"/>
        <v>7027</v>
      </c>
      <c r="O17" s="61">
        <f t="shared" si="24"/>
        <v>7032</v>
      </c>
      <c r="P17" s="61">
        <f t="shared" si="24"/>
        <v>7056</v>
      </c>
      <c r="Q17" s="61">
        <f t="shared" si="24"/>
        <v>7068</v>
      </c>
      <c r="R17" s="61">
        <f t="shared" si="24"/>
        <v>7092</v>
      </c>
      <c r="S17" s="61">
        <f t="shared" si="24"/>
        <v>7087</v>
      </c>
      <c r="T17" s="61">
        <f t="shared" si="24"/>
        <v>7099</v>
      </c>
      <c r="U17" s="105">
        <f t="shared" si="10"/>
        <v>6897.8</v>
      </c>
    </row>
    <row r="18" spans="1:21" ht="15" thickBot="1">
      <c r="A18" s="11" t="s">
        <v>23</v>
      </c>
      <c r="B18" s="19">
        <f t="shared" ref="B18:T18" si="25">SUM(B13:B15,B6)</f>
        <v>0</v>
      </c>
      <c r="C18" s="19">
        <f t="shared" si="25"/>
        <v>0</v>
      </c>
      <c r="D18" s="19">
        <f t="shared" si="25"/>
        <v>1089</v>
      </c>
      <c r="E18" s="19">
        <f t="shared" si="25"/>
        <v>1073</v>
      </c>
      <c r="F18" s="19">
        <f t="shared" si="25"/>
        <v>921</v>
      </c>
      <c r="G18" s="19">
        <f t="shared" si="25"/>
        <v>829.6</v>
      </c>
      <c r="H18" s="19">
        <f t="shared" si="25"/>
        <v>806</v>
      </c>
      <c r="I18" s="19">
        <f t="shared" si="25"/>
        <v>801</v>
      </c>
      <c r="J18" s="19">
        <f t="shared" si="25"/>
        <v>1017</v>
      </c>
      <c r="K18" s="19">
        <f t="shared" si="25"/>
        <v>723</v>
      </c>
      <c r="L18" s="19">
        <f t="shared" si="25"/>
        <v>658.1</v>
      </c>
      <c r="M18" s="19">
        <f t="shared" si="25"/>
        <v>657.9</v>
      </c>
      <c r="N18" s="19">
        <f t="shared" si="25"/>
        <v>656.7</v>
      </c>
      <c r="O18" s="19">
        <f t="shared" si="25"/>
        <v>656.7</v>
      </c>
      <c r="P18" s="19">
        <f t="shared" si="25"/>
        <v>655.7</v>
      </c>
      <c r="Q18" s="19">
        <f t="shared" si="25"/>
        <v>656.7</v>
      </c>
      <c r="R18" s="19">
        <f t="shared" si="25"/>
        <v>656.7</v>
      </c>
      <c r="S18" s="19">
        <f t="shared" si="25"/>
        <v>656.7</v>
      </c>
      <c r="T18" s="19">
        <f t="shared" si="25"/>
        <v>655.7</v>
      </c>
      <c r="U18" s="105">
        <f t="shared" si="10"/>
        <v>742.54</v>
      </c>
    </row>
  </sheetData>
  <mergeCells count="6">
    <mergeCell ref="B2:C2"/>
    <mergeCell ref="J2:K2"/>
    <mergeCell ref="L2:T2"/>
    <mergeCell ref="H2:I2"/>
    <mergeCell ref="F2:G2"/>
    <mergeCell ref="D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90FD-A4B2-4B10-9BF3-765ED653281B}">
  <dimension ref="A1:Z12"/>
  <sheetViews>
    <sheetView tabSelected="1" topLeftCell="D1" workbookViewId="0">
      <selection activeCell="U2" sqref="U2"/>
    </sheetView>
  </sheetViews>
  <sheetFormatPr defaultRowHeight="14.5"/>
  <cols>
    <col min="1" max="1" width="10.1796875" bestFit="1" customWidth="1"/>
    <col min="5" max="5" width="8.7265625" style="120"/>
    <col min="11" max="11" width="8.7265625" style="120"/>
    <col min="20" max="22" width="5.81640625" bestFit="1" customWidth="1"/>
    <col min="23" max="23" width="7.81640625" bestFit="1" customWidth="1"/>
    <col min="24" max="24" width="10.81640625" style="120" customWidth="1"/>
    <col min="25" max="25" width="8.6328125" bestFit="1" customWidth="1"/>
    <col min="26" max="26" width="10.36328125" bestFit="1" customWidth="1"/>
  </cols>
  <sheetData>
    <row r="1" spans="1:26">
      <c r="B1">
        <v>2000</v>
      </c>
      <c r="C1">
        <v>2001</v>
      </c>
      <c r="D1">
        <v>2002</v>
      </c>
      <c r="E1" s="120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 s="120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 s="120">
        <v>2022</v>
      </c>
      <c r="Y1" s="104" t="s">
        <v>82</v>
      </c>
    </row>
    <row r="2" spans="1:26">
      <c r="A2" t="s">
        <v>135</v>
      </c>
      <c r="T2" s="119">
        <v>158.69999999999999</v>
      </c>
      <c r="U2" s="119">
        <v>342.7</v>
      </c>
      <c r="V2" s="119"/>
      <c r="W2" s="119">
        <v>435.3</v>
      </c>
      <c r="X2" s="121">
        <v>617</v>
      </c>
      <c r="Y2" s="119">
        <f>AVERAGE(T2:X2)</f>
        <v>388.42500000000001</v>
      </c>
      <c r="Z2" t="s">
        <v>139</v>
      </c>
    </row>
    <row r="3" spans="1:26">
      <c r="A3" t="s">
        <v>147</v>
      </c>
      <c r="S3">
        <v>0.17</v>
      </c>
      <c r="T3">
        <v>0.45</v>
      </c>
      <c r="U3">
        <v>0.66</v>
      </c>
      <c r="V3" s="119"/>
      <c r="W3" s="119"/>
      <c r="X3" s="121"/>
      <c r="Y3" s="119">
        <f>AVERAGE(T3:X3)</f>
        <v>0.55500000000000005</v>
      </c>
      <c r="Z3" t="s">
        <v>148</v>
      </c>
    </row>
    <row r="4" spans="1:26">
      <c r="A4" t="s">
        <v>134</v>
      </c>
      <c r="B4">
        <f>B6-0.4928-2.0204</f>
        <v>1.2368000000000001</v>
      </c>
      <c r="C4">
        <f>C6-0.4928-2.1957</f>
        <v>1.0615000000000001</v>
      </c>
      <c r="D4">
        <f>D6-0.35-2.42</f>
        <v>0.98</v>
      </c>
      <c r="E4" s="120">
        <f>E6-0.305-2.393</f>
        <v>1.7520000000000007</v>
      </c>
      <c r="F4">
        <f>F6-2.9</f>
        <v>1.5500000000000003</v>
      </c>
      <c r="G4">
        <f>F6-2.78</f>
        <v>1.6700000000000004</v>
      </c>
      <c r="H4">
        <f>H6-2.48</f>
        <v>1.9700000000000002</v>
      </c>
      <c r="I4">
        <f>I6-2.24</f>
        <v>2.21</v>
      </c>
      <c r="J4">
        <f>J6-2.186</f>
        <v>2.2640000000000002</v>
      </c>
      <c r="K4" s="120">
        <f>J6-2.32+K5</f>
        <v>5.3800000000000008</v>
      </c>
      <c r="L4">
        <f>L6-2.51</f>
        <v>5.19</v>
      </c>
      <c r="M4">
        <f>M6-2.94</f>
        <v>4.76</v>
      </c>
      <c r="O4">
        <f>O6-3.89</f>
        <v>3.81</v>
      </c>
      <c r="P4">
        <v>3.46</v>
      </c>
      <c r="Q4">
        <v>3.05</v>
      </c>
      <c r="R4">
        <v>2.94</v>
      </c>
      <c r="T4" s="119">
        <v>2.69</v>
      </c>
      <c r="U4" s="119">
        <v>2.17</v>
      </c>
      <c r="V4" s="119">
        <v>2.42</v>
      </c>
      <c r="W4" s="119">
        <v>2.0499999999999998</v>
      </c>
      <c r="X4" s="121">
        <f>2.07+X5</f>
        <v>12.07</v>
      </c>
      <c r="Y4" s="119">
        <f>AVERAGE(T4:X4)</f>
        <v>4.2799999999999994</v>
      </c>
      <c r="Z4" t="s">
        <v>140</v>
      </c>
    </row>
    <row r="5" spans="1:26">
      <c r="A5" t="s">
        <v>141</v>
      </c>
      <c r="E5" s="120">
        <v>0.7</v>
      </c>
      <c r="K5" s="120">
        <v>3.25</v>
      </c>
      <c r="X5" s="120">
        <v>10</v>
      </c>
    </row>
    <row r="6" spans="1:26">
      <c r="A6" t="s">
        <v>142</v>
      </c>
      <c r="B6">
        <v>3.75</v>
      </c>
      <c r="C6">
        <v>3.75</v>
      </c>
      <c r="D6">
        <f>4.45-E5</f>
        <v>3.75</v>
      </c>
      <c r="E6" s="120">
        <v>4.45</v>
      </c>
      <c r="F6">
        <v>4.45</v>
      </c>
      <c r="G6">
        <v>4.45</v>
      </c>
      <c r="H6">
        <v>4.45</v>
      </c>
      <c r="I6">
        <v>4.45</v>
      </c>
      <c r="J6">
        <v>4.45</v>
      </c>
      <c r="K6" s="120">
        <f>J6+K5</f>
        <v>7.7</v>
      </c>
      <c r="L6">
        <v>7.7</v>
      </c>
      <c r="M6">
        <v>7.7</v>
      </c>
      <c r="N6">
        <v>7.7</v>
      </c>
      <c r="O6">
        <v>7.7</v>
      </c>
      <c r="P6">
        <v>7.7</v>
      </c>
      <c r="Q6">
        <v>7.7</v>
      </c>
      <c r="R6">
        <v>7.7</v>
      </c>
      <c r="S6">
        <v>7.7</v>
      </c>
      <c r="T6">
        <v>7.7</v>
      </c>
      <c r="U6">
        <v>7.7</v>
      </c>
      <c r="V6">
        <v>7.7</v>
      </c>
      <c r="W6">
        <v>7.7</v>
      </c>
      <c r="X6">
        <f>W6+X5</f>
        <v>17.7</v>
      </c>
    </row>
    <row r="7" spans="1:26">
      <c r="A7" t="s">
        <v>143</v>
      </c>
      <c r="C7" s="124" t="s">
        <v>145</v>
      </c>
      <c r="D7" s="123" t="s">
        <v>145</v>
      </c>
      <c r="E7" s="120" t="s">
        <v>145</v>
      </c>
      <c r="F7" s="123" t="s">
        <v>145</v>
      </c>
      <c r="G7" t="s">
        <v>146</v>
      </c>
      <c r="H7" t="s">
        <v>145</v>
      </c>
      <c r="J7" t="s">
        <v>146</v>
      </c>
      <c r="K7" s="120" t="s">
        <v>146</v>
      </c>
      <c r="R7" t="s">
        <v>146</v>
      </c>
      <c r="S7" t="s">
        <v>146</v>
      </c>
      <c r="V7" s="123">
        <v>1.4999999999999999E-2</v>
      </c>
    </row>
    <row r="9" spans="1:26">
      <c r="A9" t="s">
        <v>144</v>
      </c>
    </row>
    <row r="10" spans="1:26">
      <c r="A10" t="s">
        <v>136</v>
      </c>
      <c r="B10" s="122" t="s">
        <v>149</v>
      </c>
    </row>
    <row r="11" spans="1:26">
      <c r="B11" s="122" t="s">
        <v>138</v>
      </c>
    </row>
    <row r="12" spans="1:26">
      <c r="B12" s="122" t="s">
        <v>137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zoomScale="70" zoomScaleNormal="70" workbookViewId="0">
      <selection activeCell="A12" sqref="A12"/>
    </sheetView>
  </sheetViews>
  <sheetFormatPr defaultRowHeight="14.5"/>
  <cols>
    <col min="1" max="1" width="41.7265625" bestFit="1" customWidth="1"/>
    <col min="2" max="5" width="8.453125" bestFit="1" customWidth="1"/>
    <col min="6" max="7" width="7.81640625" bestFit="1" customWidth="1"/>
    <col min="11" max="11" width="9.453125" customWidth="1"/>
    <col min="12" max="13" width="9.1796875" bestFit="1" customWidth="1"/>
    <col min="14" max="14" width="8.7265625" customWidth="1"/>
  </cols>
  <sheetData>
    <row r="1" spans="1:21" ht="18.5">
      <c r="A1" s="5" t="s">
        <v>24</v>
      </c>
    </row>
    <row r="2" spans="1:21" ht="15" thickBot="1">
      <c r="B2" s="127" t="s">
        <v>25</v>
      </c>
      <c r="C2" s="127"/>
      <c r="D2" s="132" t="s">
        <v>2</v>
      </c>
      <c r="E2" s="132"/>
      <c r="F2" s="131" t="s">
        <v>26</v>
      </c>
      <c r="G2" s="131"/>
      <c r="H2" s="133" t="s">
        <v>4</v>
      </c>
      <c r="I2" s="133"/>
      <c r="J2" s="128" t="s">
        <v>27</v>
      </c>
      <c r="K2" s="128"/>
      <c r="L2" s="128"/>
      <c r="M2" s="128"/>
      <c r="N2" s="128"/>
      <c r="O2" s="128"/>
      <c r="P2" s="70"/>
      <c r="Q2" s="70"/>
      <c r="R2" s="70"/>
      <c r="S2" s="70" t="s">
        <v>6</v>
      </c>
      <c r="T2" s="70"/>
    </row>
    <row r="3" spans="1:21" ht="15" thickBot="1">
      <c r="A3" s="8" t="s">
        <v>7</v>
      </c>
      <c r="B3" s="14">
        <v>2010</v>
      </c>
      <c r="C3" s="14">
        <v>2011</v>
      </c>
      <c r="D3" s="54">
        <v>2012</v>
      </c>
      <c r="E3" s="54">
        <v>2013</v>
      </c>
      <c r="F3" s="47">
        <v>2014</v>
      </c>
      <c r="G3" s="47">
        <v>2015</v>
      </c>
      <c r="H3" s="83">
        <v>2016</v>
      </c>
      <c r="I3" s="20">
        <v>2017</v>
      </c>
      <c r="J3" s="36">
        <v>2018</v>
      </c>
      <c r="K3" s="36">
        <v>2019</v>
      </c>
      <c r="L3" s="36">
        <v>2020</v>
      </c>
      <c r="M3" s="36">
        <v>2021</v>
      </c>
      <c r="N3" s="36">
        <v>2022</v>
      </c>
      <c r="O3" s="36">
        <v>2023</v>
      </c>
      <c r="P3" s="21">
        <v>2024</v>
      </c>
      <c r="Q3" s="21">
        <v>2025</v>
      </c>
      <c r="R3" s="21">
        <v>2026</v>
      </c>
      <c r="S3" s="21">
        <v>2027</v>
      </c>
      <c r="T3" s="21">
        <v>2028</v>
      </c>
      <c r="U3" t="s">
        <v>82</v>
      </c>
    </row>
    <row r="4" spans="1:21">
      <c r="A4" s="7" t="s">
        <v>28</v>
      </c>
      <c r="B4" s="89">
        <f>SUM(B5:B7)</f>
        <v>0</v>
      </c>
      <c r="C4" s="89">
        <f t="shared" ref="C4:T4" si="0">SUM(C5:C7)</f>
        <v>0</v>
      </c>
      <c r="D4" s="77">
        <f t="shared" si="0"/>
        <v>6943</v>
      </c>
      <c r="E4" s="77">
        <f t="shared" si="0"/>
        <v>6942</v>
      </c>
      <c r="F4" s="79">
        <f t="shared" si="0"/>
        <v>6912.9</v>
      </c>
      <c r="G4" s="79">
        <f t="shared" si="0"/>
        <v>6839.9</v>
      </c>
      <c r="H4" s="84">
        <f t="shared" si="0"/>
        <v>6666.4841099813302</v>
      </c>
      <c r="I4" s="84">
        <f t="shared" si="0"/>
        <v>6743.937104587555</v>
      </c>
      <c r="J4" s="71">
        <f t="shared" si="0"/>
        <v>6601.3773547487435</v>
      </c>
      <c r="K4" s="71">
        <f t="shared" si="0"/>
        <v>6596.3773547487435</v>
      </c>
      <c r="L4" s="71">
        <f t="shared" si="0"/>
        <v>6635.587247038593</v>
      </c>
      <c r="M4" s="71">
        <f t="shared" si="0"/>
        <v>6637.1551263469173</v>
      </c>
      <c r="N4" s="71">
        <f t="shared" si="0"/>
        <v>6637.1551263469173</v>
      </c>
      <c r="O4" s="71">
        <f t="shared" si="0"/>
        <v>6637.1551263469173</v>
      </c>
      <c r="P4" s="81">
        <f t="shared" si="0"/>
        <v>6631.9</v>
      </c>
      <c r="Q4" s="81">
        <f t="shared" si="0"/>
        <v>6631.9</v>
      </c>
      <c r="R4" s="81">
        <f t="shared" si="0"/>
        <v>6631.9</v>
      </c>
      <c r="S4" s="81">
        <f t="shared" si="0"/>
        <v>6631.9</v>
      </c>
      <c r="T4" s="81">
        <f t="shared" si="0"/>
        <v>6631.9</v>
      </c>
      <c r="U4" s="105">
        <f xml:space="preserve"> AVERAGE(J4:N4)</f>
        <v>6621.5304418459828</v>
      </c>
    </row>
    <row r="5" spans="1:21">
      <c r="A5" s="6" t="s">
        <v>29</v>
      </c>
      <c r="B5" s="90"/>
      <c r="C5" s="90"/>
      <c r="D5" s="64">
        <v>6565</v>
      </c>
      <c r="E5" s="64">
        <v>6563</v>
      </c>
      <c r="F5" s="65">
        <v>6556</v>
      </c>
      <c r="G5" s="65">
        <v>6483</v>
      </c>
      <c r="H5" s="85">
        <v>6310.5841099813306</v>
      </c>
      <c r="I5" s="85">
        <v>6388.0371045875554</v>
      </c>
      <c r="J5" s="62">
        <v>6250</v>
      </c>
      <c r="K5" s="62">
        <v>6245</v>
      </c>
      <c r="L5" s="62">
        <v>6294</v>
      </c>
      <c r="M5" s="62">
        <v>6295</v>
      </c>
      <c r="N5" s="62">
        <v>6295</v>
      </c>
      <c r="O5" s="62">
        <v>6295</v>
      </c>
      <c r="P5" s="63">
        <v>6280</v>
      </c>
      <c r="Q5" s="63">
        <v>6280</v>
      </c>
      <c r="R5" s="63">
        <v>6280</v>
      </c>
      <c r="S5" s="63">
        <v>6280</v>
      </c>
      <c r="T5" s="63">
        <v>6280</v>
      </c>
      <c r="U5" s="105">
        <f t="shared" ref="U5:U27" si="1" xml:space="preserve"> AVERAGE(J5:N5)</f>
        <v>6275.8</v>
      </c>
    </row>
    <row r="6" spans="1:21">
      <c r="A6" s="6" t="s">
        <v>30</v>
      </c>
      <c r="B6" s="90"/>
      <c r="C6" s="90"/>
      <c r="D6" s="64">
        <v>378</v>
      </c>
      <c r="E6" s="64">
        <v>379</v>
      </c>
      <c r="F6" s="65">
        <v>354</v>
      </c>
      <c r="G6" s="65">
        <v>354</v>
      </c>
      <c r="H6" s="85">
        <v>353</v>
      </c>
      <c r="I6" s="85">
        <v>353</v>
      </c>
      <c r="J6" s="62">
        <v>348.47735474874429</v>
      </c>
      <c r="K6" s="62">
        <v>348.47735474874429</v>
      </c>
      <c r="L6" s="62">
        <v>338.68724703859294</v>
      </c>
      <c r="M6" s="62">
        <v>339.2551263469179</v>
      </c>
      <c r="N6" s="62">
        <v>339.2551263469179</v>
      </c>
      <c r="O6" s="62">
        <v>339.2551263469179</v>
      </c>
      <c r="P6" s="63">
        <v>349</v>
      </c>
      <c r="Q6" s="63">
        <v>349</v>
      </c>
      <c r="R6" s="63">
        <v>349</v>
      </c>
      <c r="S6" s="63">
        <v>349</v>
      </c>
      <c r="T6" s="63">
        <v>349</v>
      </c>
      <c r="U6" s="105">
        <f t="shared" si="1"/>
        <v>342.8304418459835</v>
      </c>
    </row>
    <row r="7" spans="1:21" ht="15" thickBot="1">
      <c r="A7" s="10" t="s">
        <v>31</v>
      </c>
      <c r="B7" s="91"/>
      <c r="C7" s="91"/>
      <c r="D7" s="73">
        <v>0</v>
      </c>
      <c r="E7" s="73">
        <v>0</v>
      </c>
      <c r="F7" s="74">
        <v>2.9</v>
      </c>
      <c r="G7" s="74">
        <v>2.9</v>
      </c>
      <c r="H7" s="86">
        <v>2.9</v>
      </c>
      <c r="I7" s="86">
        <v>2.9</v>
      </c>
      <c r="J7" s="75">
        <v>2.9</v>
      </c>
      <c r="K7" s="75">
        <v>2.9</v>
      </c>
      <c r="L7" s="75">
        <v>2.9</v>
      </c>
      <c r="M7" s="75">
        <v>2.9</v>
      </c>
      <c r="N7" s="75">
        <v>2.9</v>
      </c>
      <c r="O7" s="75">
        <v>2.9</v>
      </c>
      <c r="P7" s="76">
        <v>2.9</v>
      </c>
      <c r="Q7" s="76">
        <v>2.9</v>
      </c>
      <c r="R7" s="76">
        <v>2.9</v>
      </c>
      <c r="S7" s="76">
        <v>2.9</v>
      </c>
      <c r="T7" s="76">
        <v>2.9</v>
      </c>
      <c r="U7" s="105">
        <f t="shared" si="1"/>
        <v>2.9</v>
      </c>
    </row>
    <row r="8" spans="1:21">
      <c r="A8" s="12" t="s">
        <v>32</v>
      </c>
      <c r="B8" s="92">
        <f t="shared" ref="B8:T8" si="2">SUM(B9:B13)</f>
        <v>0</v>
      </c>
      <c r="C8" s="92">
        <f t="shared" si="2"/>
        <v>0</v>
      </c>
      <c r="D8" s="78">
        <f t="shared" si="2"/>
        <v>1116</v>
      </c>
      <c r="E8" s="78">
        <f t="shared" si="2"/>
        <v>964</v>
      </c>
      <c r="F8" s="80">
        <f t="shared" si="2"/>
        <v>1109.2</v>
      </c>
      <c r="G8" s="80">
        <f t="shared" si="2"/>
        <v>957.2</v>
      </c>
      <c r="H8" s="87">
        <f t="shared" si="2"/>
        <v>1146</v>
      </c>
      <c r="I8" s="87">
        <f t="shared" si="2"/>
        <v>976</v>
      </c>
      <c r="J8" s="72">
        <f t="shared" si="2"/>
        <v>1157.9441546639268</v>
      </c>
      <c r="K8" s="72">
        <f t="shared" si="2"/>
        <v>995.20442041735168</v>
      </c>
      <c r="L8" s="72">
        <f t="shared" si="2"/>
        <v>1157.9008413155739</v>
      </c>
      <c r="M8" s="72">
        <f t="shared" si="2"/>
        <v>991.2455640246576</v>
      </c>
      <c r="N8" s="72">
        <f t="shared" si="2"/>
        <v>1153.985298271233</v>
      </c>
      <c r="O8" s="72">
        <f t="shared" si="2"/>
        <v>991.2455640246576</v>
      </c>
      <c r="P8" s="82">
        <f t="shared" si="2"/>
        <v>1133</v>
      </c>
      <c r="Q8" s="82">
        <f t="shared" si="2"/>
        <v>970</v>
      </c>
      <c r="R8" s="82">
        <f t="shared" si="2"/>
        <v>1133</v>
      </c>
      <c r="S8" s="82">
        <f t="shared" si="2"/>
        <v>956.8</v>
      </c>
      <c r="T8" s="82">
        <f t="shared" si="2"/>
        <v>1101.9000000000001</v>
      </c>
      <c r="U8" s="105">
        <f t="shared" si="1"/>
        <v>1091.2560557385484</v>
      </c>
    </row>
    <row r="9" spans="1:21">
      <c r="A9" s="6" t="s">
        <v>33</v>
      </c>
      <c r="B9" s="90"/>
      <c r="C9" s="90"/>
      <c r="D9" s="64">
        <v>19</v>
      </c>
      <c r="E9" s="64">
        <v>19</v>
      </c>
      <c r="F9" s="65">
        <v>19.2</v>
      </c>
      <c r="G9" s="65">
        <v>19.2</v>
      </c>
      <c r="H9" s="85">
        <v>11</v>
      </c>
      <c r="I9" s="85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105">
        <f t="shared" si="1"/>
        <v>0</v>
      </c>
    </row>
    <row r="10" spans="1:21">
      <c r="A10" s="6" t="s">
        <v>34</v>
      </c>
      <c r="B10" s="90"/>
      <c r="C10" s="90"/>
      <c r="D10" s="64">
        <v>0</v>
      </c>
      <c r="E10" s="64">
        <v>0</v>
      </c>
      <c r="F10" s="65">
        <v>0</v>
      </c>
      <c r="G10" s="65">
        <v>0</v>
      </c>
      <c r="H10" s="85">
        <v>0</v>
      </c>
      <c r="I10" s="85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105">
        <f t="shared" si="1"/>
        <v>0</v>
      </c>
    </row>
    <row r="11" spans="1:21">
      <c r="A11" s="6" t="s">
        <v>35</v>
      </c>
      <c r="B11" s="90"/>
      <c r="C11" s="90"/>
      <c r="D11" s="64">
        <v>1030</v>
      </c>
      <c r="E11" s="64">
        <v>878</v>
      </c>
      <c r="F11" s="65">
        <v>1030</v>
      </c>
      <c r="G11" s="65">
        <v>878</v>
      </c>
      <c r="H11" s="85">
        <v>1075</v>
      </c>
      <c r="I11" s="85">
        <v>916</v>
      </c>
      <c r="J11" s="62">
        <v>1100</v>
      </c>
      <c r="K11" s="62">
        <v>937.26026575342473</v>
      </c>
      <c r="L11" s="62">
        <v>1100</v>
      </c>
      <c r="M11" s="62">
        <v>937.26026575342473</v>
      </c>
      <c r="N11" s="62">
        <v>1100</v>
      </c>
      <c r="O11" s="62">
        <v>937.26026575342473</v>
      </c>
      <c r="P11" s="63">
        <v>1100</v>
      </c>
      <c r="Q11" s="63">
        <v>937</v>
      </c>
      <c r="R11" s="63">
        <v>1100</v>
      </c>
      <c r="S11" s="63">
        <v>937</v>
      </c>
      <c r="T11" s="63">
        <v>1100</v>
      </c>
      <c r="U11" s="105">
        <f t="shared" si="1"/>
        <v>1034.9041063013699</v>
      </c>
    </row>
    <row r="12" spans="1:21">
      <c r="A12" s="6" t="s">
        <v>36</v>
      </c>
      <c r="B12" s="90"/>
      <c r="C12" s="90"/>
      <c r="D12" s="64">
        <v>67</v>
      </c>
      <c r="E12" s="64">
        <v>67</v>
      </c>
      <c r="F12" s="65">
        <v>60</v>
      </c>
      <c r="G12" s="65">
        <v>60</v>
      </c>
      <c r="H12" s="85">
        <v>60</v>
      </c>
      <c r="I12" s="85">
        <v>60</v>
      </c>
      <c r="J12" s="62">
        <v>57.944154663926945</v>
      </c>
      <c r="K12" s="62">
        <v>57.944154663926945</v>
      </c>
      <c r="L12" s="62">
        <v>57.900841315573764</v>
      </c>
      <c r="M12" s="62">
        <v>53.985298271232878</v>
      </c>
      <c r="N12" s="62">
        <v>53.985298271232878</v>
      </c>
      <c r="O12" s="62">
        <v>53.985298271232878</v>
      </c>
      <c r="P12" s="63">
        <v>33</v>
      </c>
      <c r="Q12" s="63">
        <v>33</v>
      </c>
      <c r="R12" s="63">
        <v>33</v>
      </c>
      <c r="S12" s="63">
        <v>19.8</v>
      </c>
      <c r="T12" s="63">
        <v>1.9</v>
      </c>
      <c r="U12" s="105">
        <f t="shared" si="1"/>
        <v>56.351949437178675</v>
      </c>
    </row>
    <row r="13" spans="1:21" ht="15" thickBot="1">
      <c r="A13" s="6" t="s">
        <v>37</v>
      </c>
      <c r="B13" s="90"/>
      <c r="C13" s="90"/>
      <c r="D13" s="64">
        <v>0</v>
      </c>
      <c r="E13" s="64">
        <v>0</v>
      </c>
      <c r="F13" s="65">
        <v>0</v>
      </c>
      <c r="G13" s="65">
        <v>0</v>
      </c>
      <c r="H13" s="85">
        <v>0</v>
      </c>
      <c r="I13" s="85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105">
        <f t="shared" si="1"/>
        <v>0</v>
      </c>
    </row>
    <row r="14" spans="1:21">
      <c r="A14" s="12" t="s">
        <v>38</v>
      </c>
      <c r="B14" s="92">
        <f>SUM(B15:B19)</f>
        <v>0</v>
      </c>
      <c r="C14" s="92">
        <f t="shared" ref="C14:T14" si="3">SUM(C15:C19)</f>
        <v>0</v>
      </c>
      <c r="D14" s="78">
        <f t="shared" si="3"/>
        <v>510</v>
      </c>
      <c r="E14" s="78">
        <f t="shared" si="3"/>
        <v>713</v>
      </c>
      <c r="F14" s="80">
        <f t="shared" si="3"/>
        <v>484.09999999999997</v>
      </c>
      <c r="G14" s="80">
        <f t="shared" si="3"/>
        <v>402.7</v>
      </c>
      <c r="H14" s="87">
        <f t="shared" si="3"/>
        <v>217</v>
      </c>
      <c r="I14" s="87">
        <f t="shared" si="3"/>
        <v>284</v>
      </c>
      <c r="J14" s="72">
        <f t="shared" si="3"/>
        <v>203.1899715753425</v>
      </c>
      <c r="K14" s="72">
        <f t="shared" si="3"/>
        <v>227.86237591324203</v>
      </c>
      <c r="L14" s="72">
        <f t="shared" ref="L14:Q14" si="4">SUM(L15:L19)</f>
        <v>178.05981465938069</v>
      </c>
      <c r="M14" s="72">
        <f t="shared" si="4"/>
        <v>172.81480065901823</v>
      </c>
      <c r="N14" s="72">
        <f t="shared" si="4"/>
        <v>173.62464547579907</v>
      </c>
      <c r="O14" s="72">
        <f t="shared" si="4"/>
        <v>172.8106998410959</v>
      </c>
      <c r="P14" s="82">
        <f t="shared" si="4"/>
        <v>168</v>
      </c>
      <c r="Q14" s="82">
        <f t="shared" si="4"/>
        <v>168</v>
      </c>
      <c r="R14" s="82">
        <f t="shared" si="3"/>
        <v>168</v>
      </c>
      <c r="S14" s="82">
        <f t="shared" si="3"/>
        <v>168</v>
      </c>
      <c r="T14" s="82">
        <f t="shared" si="3"/>
        <v>168</v>
      </c>
      <c r="U14" s="105">
        <f t="shared" si="1"/>
        <v>191.11032165655652</v>
      </c>
    </row>
    <row r="15" spans="1:21">
      <c r="A15" s="6" t="s">
        <v>39</v>
      </c>
      <c r="B15" s="90"/>
      <c r="C15" s="90"/>
      <c r="D15" s="64">
        <v>241</v>
      </c>
      <c r="E15" s="64">
        <v>241</v>
      </c>
      <c r="F15" s="65">
        <v>57.7</v>
      </c>
      <c r="G15" s="65">
        <v>57.4</v>
      </c>
      <c r="H15" s="85">
        <v>15</v>
      </c>
      <c r="I15" s="85">
        <v>1</v>
      </c>
      <c r="J15" s="62">
        <v>1</v>
      </c>
      <c r="K15" s="62">
        <v>1</v>
      </c>
      <c r="L15" s="62">
        <v>1</v>
      </c>
      <c r="M15" s="62">
        <v>1</v>
      </c>
      <c r="N15" s="62">
        <v>1</v>
      </c>
      <c r="O15" s="62">
        <v>1</v>
      </c>
      <c r="P15" s="63">
        <v>1</v>
      </c>
      <c r="Q15" s="63">
        <v>1</v>
      </c>
      <c r="R15" s="63">
        <v>1</v>
      </c>
      <c r="S15" s="63">
        <v>1</v>
      </c>
      <c r="T15" s="63">
        <v>1</v>
      </c>
      <c r="U15" s="105">
        <f t="shared" si="1"/>
        <v>1</v>
      </c>
    </row>
    <row r="16" spans="1:21">
      <c r="A16" s="6" t="s">
        <v>40</v>
      </c>
      <c r="B16" s="90"/>
      <c r="C16" s="90"/>
      <c r="D16" s="64">
        <v>91</v>
      </c>
      <c r="E16" s="64">
        <v>122</v>
      </c>
      <c r="F16" s="65">
        <v>253</v>
      </c>
      <c r="G16" s="65">
        <v>173</v>
      </c>
      <c r="H16" s="85">
        <v>30</v>
      </c>
      <c r="I16" s="85">
        <v>30</v>
      </c>
      <c r="J16" s="62">
        <v>30.162977054794514</v>
      </c>
      <c r="K16" s="62">
        <v>10.155953995433789</v>
      </c>
      <c r="L16" s="62">
        <v>4.3593559881602912</v>
      </c>
      <c r="M16" s="62">
        <v>0</v>
      </c>
      <c r="N16" s="62">
        <v>0</v>
      </c>
      <c r="O16" s="62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105">
        <f t="shared" si="1"/>
        <v>8.9356574076777182</v>
      </c>
    </row>
    <row r="17" spans="1:21">
      <c r="A17" s="6" t="s">
        <v>41</v>
      </c>
      <c r="B17" s="90"/>
      <c r="C17" s="90"/>
      <c r="D17" s="64">
        <v>141</v>
      </c>
      <c r="E17" s="64">
        <v>138</v>
      </c>
      <c r="F17" s="65">
        <v>137</v>
      </c>
      <c r="G17" s="65">
        <v>137</v>
      </c>
      <c r="H17" s="85">
        <v>137</v>
      </c>
      <c r="I17" s="85">
        <v>137</v>
      </c>
      <c r="J17" s="62">
        <v>136.02699452054799</v>
      </c>
      <c r="K17" s="62">
        <v>136.70642191780826</v>
      </c>
      <c r="L17" s="62">
        <v>136.69590994990892</v>
      </c>
      <c r="M17" s="62">
        <v>136.63391278538811</v>
      </c>
      <c r="N17" s="62">
        <v>136.63390057077623</v>
      </c>
      <c r="O17" s="62">
        <v>136.63388961187215</v>
      </c>
      <c r="P17" s="63">
        <v>137</v>
      </c>
      <c r="Q17" s="63">
        <v>137</v>
      </c>
      <c r="R17" s="63">
        <v>137</v>
      </c>
      <c r="S17" s="63">
        <v>137</v>
      </c>
      <c r="T17" s="63">
        <v>137</v>
      </c>
      <c r="U17" s="105">
        <f t="shared" si="1"/>
        <v>136.5394279488859</v>
      </c>
    </row>
    <row r="18" spans="1:21">
      <c r="A18" s="6" t="s">
        <v>42</v>
      </c>
      <c r="B18" s="90"/>
      <c r="C18" s="90"/>
      <c r="D18" s="64">
        <v>37</v>
      </c>
      <c r="E18" s="64">
        <v>36</v>
      </c>
      <c r="F18" s="65">
        <v>36.4</v>
      </c>
      <c r="G18" s="65">
        <v>35.299999999999997</v>
      </c>
      <c r="H18" s="85">
        <v>35</v>
      </c>
      <c r="I18" s="85">
        <v>35</v>
      </c>
      <c r="J18" s="62">
        <v>36</v>
      </c>
      <c r="K18" s="62">
        <v>35</v>
      </c>
      <c r="L18" s="62">
        <v>36.004548721311458</v>
      </c>
      <c r="M18" s="62">
        <v>35.180887873630134</v>
      </c>
      <c r="N18" s="62">
        <v>35.990744905022822</v>
      </c>
      <c r="O18" s="62">
        <v>35.176810229223747</v>
      </c>
      <c r="P18" s="63">
        <v>30</v>
      </c>
      <c r="Q18" s="63">
        <v>30</v>
      </c>
      <c r="R18" s="63">
        <v>30</v>
      </c>
      <c r="S18" s="63">
        <v>30</v>
      </c>
      <c r="T18" s="63">
        <v>30</v>
      </c>
      <c r="U18" s="105">
        <f t="shared" si="1"/>
        <v>35.635236299992883</v>
      </c>
    </row>
    <row r="19" spans="1:21" ht="15" thickBot="1">
      <c r="A19" s="6" t="s">
        <v>43</v>
      </c>
      <c r="B19" s="90"/>
      <c r="C19" s="90"/>
      <c r="D19" s="64">
        <v>0</v>
      </c>
      <c r="E19" s="64">
        <v>176</v>
      </c>
      <c r="F19" s="65">
        <v>0</v>
      </c>
      <c r="G19" s="65">
        <v>0</v>
      </c>
      <c r="H19" s="85">
        <v>0</v>
      </c>
      <c r="I19" s="85">
        <v>81</v>
      </c>
      <c r="J19" s="62">
        <v>0</v>
      </c>
      <c r="K19" s="62">
        <v>45</v>
      </c>
      <c r="L19" s="62">
        <v>0</v>
      </c>
      <c r="M19" s="62">
        <v>0</v>
      </c>
      <c r="N19" s="62">
        <v>0</v>
      </c>
      <c r="O19" s="62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105">
        <f xml:space="preserve"> AVERAGE(J19:N19)</f>
        <v>9</v>
      </c>
    </row>
    <row r="20" spans="1:21">
      <c r="A20" s="12" t="s">
        <v>44</v>
      </c>
      <c r="B20" s="92">
        <f>SUM(B21:B25)</f>
        <v>0</v>
      </c>
      <c r="C20" s="92">
        <f t="shared" ref="C20:T20" si="5">SUM(C21:C25)</f>
        <v>0</v>
      </c>
      <c r="D20" s="78">
        <f t="shared" si="5"/>
        <v>-242</v>
      </c>
      <c r="E20" s="78">
        <f t="shared" si="5"/>
        <v>-243</v>
      </c>
      <c r="F20" s="80">
        <f t="shared" si="5"/>
        <v>-240</v>
      </c>
      <c r="G20" s="80">
        <f t="shared" si="5"/>
        <v>-231</v>
      </c>
      <c r="H20" s="87">
        <f t="shared" si="5"/>
        <v>-238</v>
      </c>
      <c r="I20" s="87">
        <f t="shared" si="5"/>
        <v>-238</v>
      </c>
      <c r="J20" s="72">
        <f t="shared" si="5"/>
        <v>-238</v>
      </c>
      <c r="K20" s="72">
        <f t="shared" si="5"/>
        <v>-239</v>
      </c>
      <c r="L20" s="72">
        <f t="shared" si="5"/>
        <v>-243</v>
      </c>
      <c r="M20" s="72">
        <f t="shared" si="5"/>
        <v>-236</v>
      </c>
      <c r="N20" s="72">
        <f>SUM(N21:N25)</f>
        <v>-238</v>
      </c>
      <c r="O20" s="72">
        <f t="shared" si="5"/>
        <v>-233</v>
      </c>
      <c r="P20" s="82">
        <f t="shared" si="5"/>
        <v>-237</v>
      </c>
      <c r="Q20" s="82">
        <f t="shared" si="5"/>
        <v>-233</v>
      </c>
      <c r="R20" s="82">
        <f t="shared" si="5"/>
        <v>-237</v>
      </c>
      <c r="S20" s="82">
        <f t="shared" si="5"/>
        <v>-232</v>
      </c>
      <c r="T20" s="82">
        <f t="shared" si="5"/>
        <v>-236</v>
      </c>
      <c r="U20" s="105">
        <f t="shared" si="1"/>
        <v>-238.8</v>
      </c>
    </row>
    <row r="21" spans="1:21">
      <c r="A21" s="6" t="s">
        <v>45</v>
      </c>
      <c r="B21" s="90"/>
      <c r="C21" s="90"/>
      <c r="D21" s="64">
        <v>0</v>
      </c>
      <c r="E21" s="64">
        <v>0</v>
      </c>
      <c r="F21" s="65">
        <v>0</v>
      </c>
      <c r="G21" s="65">
        <v>0</v>
      </c>
      <c r="H21" s="85">
        <v>0</v>
      </c>
      <c r="I21" s="85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105">
        <f t="shared" si="1"/>
        <v>0</v>
      </c>
    </row>
    <row r="22" spans="1:21">
      <c r="A22" s="6" t="s">
        <v>46</v>
      </c>
      <c r="B22" s="90"/>
      <c r="C22" s="90"/>
      <c r="D22" s="64">
        <v>0</v>
      </c>
      <c r="E22" s="64">
        <v>0</v>
      </c>
      <c r="F22" s="65">
        <v>0</v>
      </c>
      <c r="G22" s="65">
        <v>0</v>
      </c>
      <c r="H22" s="85">
        <v>0</v>
      </c>
      <c r="I22" s="85"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105">
        <f t="shared" si="1"/>
        <v>0</v>
      </c>
    </row>
    <row r="23" spans="1:21">
      <c r="A23" s="6" t="s">
        <v>47</v>
      </c>
      <c r="B23" s="90"/>
      <c r="C23" s="90"/>
      <c r="D23" s="64">
        <v>0</v>
      </c>
      <c r="E23" s="64">
        <v>0</v>
      </c>
      <c r="F23" s="65">
        <v>0</v>
      </c>
      <c r="G23" s="65">
        <v>0</v>
      </c>
      <c r="H23" s="85">
        <v>0</v>
      </c>
      <c r="I23" s="85"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105">
        <f t="shared" si="1"/>
        <v>0</v>
      </c>
    </row>
    <row r="24" spans="1:21">
      <c r="A24" s="6" t="s">
        <v>48</v>
      </c>
      <c r="B24" s="90"/>
      <c r="C24" s="90"/>
      <c r="D24" s="64">
        <v>0</v>
      </c>
      <c r="E24" s="64">
        <v>0</v>
      </c>
      <c r="F24" s="65">
        <v>0</v>
      </c>
      <c r="G24" s="65">
        <v>0</v>
      </c>
      <c r="H24" s="85">
        <v>0</v>
      </c>
      <c r="I24" s="85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105">
        <f t="shared" si="1"/>
        <v>0</v>
      </c>
    </row>
    <row r="25" spans="1:21" ht="15" thickBot="1">
      <c r="A25" s="6" t="s">
        <v>49</v>
      </c>
      <c r="B25" s="90"/>
      <c r="C25" s="90"/>
      <c r="D25" s="64">
        <v>-242</v>
      </c>
      <c r="E25" s="64">
        <v>-243</v>
      </c>
      <c r="F25" s="65">
        <v>-240</v>
      </c>
      <c r="G25" s="65">
        <v>-231</v>
      </c>
      <c r="H25" s="85">
        <v>-238</v>
      </c>
      <c r="I25" s="85">
        <v>-238</v>
      </c>
      <c r="J25" s="62">
        <v>-238</v>
      </c>
      <c r="K25" s="62">
        <v>-239</v>
      </c>
      <c r="L25" s="62">
        <v>-243</v>
      </c>
      <c r="M25" s="62">
        <v>-236</v>
      </c>
      <c r="N25" s="62">
        <v>-238</v>
      </c>
      <c r="O25" s="62">
        <v>-233</v>
      </c>
      <c r="P25" s="63">
        <v>-237</v>
      </c>
      <c r="Q25" s="63">
        <v>-233</v>
      </c>
      <c r="R25" s="63">
        <v>-237</v>
      </c>
      <c r="S25" s="63">
        <v>-232</v>
      </c>
      <c r="T25" s="63">
        <v>-236</v>
      </c>
      <c r="U25" s="105">
        <f t="shared" si="1"/>
        <v>-238.8</v>
      </c>
    </row>
    <row r="26" spans="1:21" ht="15" thickBot="1">
      <c r="A26" s="11" t="s">
        <v>50</v>
      </c>
      <c r="B26" s="93">
        <v>8420</v>
      </c>
      <c r="C26" s="93">
        <v>8156</v>
      </c>
      <c r="D26" s="66">
        <f t="shared" ref="D26:T26" si="6">SUM(D4,D8,D14,D20)</f>
        <v>8327</v>
      </c>
      <c r="E26" s="66">
        <f t="shared" si="6"/>
        <v>8376</v>
      </c>
      <c r="F26" s="67">
        <f t="shared" si="6"/>
        <v>8266.1999999999989</v>
      </c>
      <c r="G26" s="67">
        <f t="shared" si="6"/>
        <v>7968.7999999999993</v>
      </c>
      <c r="H26" s="88">
        <f t="shared" si="6"/>
        <v>7791.4841099813302</v>
      </c>
      <c r="I26" s="88">
        <f t="shared" si="6"/>
        <v>7765.937104587555</v>
      </c>
      <c r="J26" s="68">
        <f t="shared" si="6"/>
        <v>7724.5114809880124</v>
      </c>
      <c r="K26" s="68">
        <f t="shared" si="6"/>
        <v>7580.4441510793376</v>
      </c>
      <c r="L26" s="68">
        <f t="shared" si="6"/>
        <v>7728.5479030135475</v>
      </c>
      <c r="M26" s="68">
        <f t="shared" si="6"/>
        <v>7565.2154910305926</v>
      </c>
      <c r="N26" s="68">
        <f t="shared" si="6"/>
        <v>7726.7650700939494</v>
      </c>
      <c r="O26" s="68">
        <f t="shared" si="6"/>
        <v>7568.2113902126703</v>
      </c>
      <c r="P26" s="69">
        <f t="shared" si="6"/>
        <v>7695.9</v>
      </c>
      <c r="Q26" s="69">
        <f t="shared" si="6"/>
        <v>7536.9</v>
      </c>
      <c r="R26" s="69">
        <f t="shared" si="6"/>
        <v>7695.9</v>
      </c>
      <c r="S26" s="69">
        <f t="shared" si="6"/>
        <v>7524.7</v>
      </c>
      <c r="T26" s="69">
        <f t="shared" si="6"/>
        <v>7665.7999999999993</v>
      </c>
      <c r="U26" s="105">
        <f xml:space="preserve"> AVERAGE(J26:N26)</f>
        <v>7665.0968192410874</v>
      </c>
    </row>
    <row r="27" spans="1:21" ht="15" thickBot="1">
      <c r="A27" s="11" t="s">
        <v>51</v>
      </c>
      <c r="B27" s="93">
        <f>B26-load!B16</f>
        <v>-476</v>
      </c>
      <c r="C27" s="93">
        <f>C26-load!C16</f>
        <v>-680</v>
      </c>
      <c r="D27" s="66">
        <f>D26-load!D16</f>
        <v>23</v>
      </c>
      <c r="E27" s="66">
        <f>E26-load!E16</f>
        <v>-4</v>
      </c>
      <c r="F27" s="67">
        <f>F26-load!F16</f>
        <v>75.499999999999091</v>
      </c>
      <c r="G27" s="67">
        <f>G26-load!G16</f>
        <v>-193.10000000000127</v>
      </c>
      <c r="H27" s="88">
        <f>H26-load!H16</f>
        <v>56.484109981330221</v>
      </c>
      <c r="I27" s="88">
        <f>I26-load!I16</f>
        <v>-6.289541244495922E-2</v>
      </c>
      <c r="J27" s="68">
        <f>J26-load!J16</f>
        <v>-91.488519011987592</v>
      </c>
      <c r="K27" s="68">
        <f>K26-load!K16</f>
        <v>3.4441510793376438</v>
      </c>
      <c r="L27" s="68">
        <f>L26-load!L16</f>
        <v>18.847903013546784</v>
      </c>
      <c r="M27" s="68">
        <f>M26-load!M16</f>
        <v>-174.2845089694074</v>
      </c>
      <c r="N27" s="68">
        <f>N26-load!N16</f>
        <v>-44.53492990605082</v>
      </c>
      <c r="O27" s="68">
        <f>O26-load!O16</f>
        <v>-208.08860978732991</v>
      </c>
      <c r="P27" s="69">
        <f>P26-load!P16</f>
        <v>-103.40000000000055</v>
      </c>
      <c r="Q27" s="69">
        <f>Q26-load!Q16</f>
        <v>-275.40000000000055</v>
      </c>
      <c r="R27" s="69">
        <f>R26-load!R16</f>
        <v>-140.40000000000055</v>
      </c>
      <c r="S27" s="69">
        <f>S26-load!S16</f>
        <v>-306.60000000000036</v>
      </c>
      <c r="T27" s="69">
        <f>T26-load!T16</f>
        <v>-176.50000000000091</v>
      </c>
      <c r="U27" s="105">
        <f t="shared" si="1"/>
        <v>-57.603180758912274</v>
      </c>
    </row>
  </sheetData>
  <mergeCells count="5">
    <mergeCell ref="B2:C2"/>
    <mergeCell ref="D2:E2"/>
    <mergeCell ref="F2:G2"/>
    <mergeCell ref="H2:I2"/>
    <mergeCell ref="J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zoomScale="85" zoomScaleNormal="85" workbookViewId="0">
      <selection activeCell="P9" sqref="P9"/>
    </sheetView>
  </sheetViews>
  <sheetFormatPr defaultRowHeight="14.5"/>
  <cols>
    <col min="1" max="1" width="9.26953125" customWidth="1"/>
  </cols>
  <sheetData>
    <row r="1" spans="1:13">
      <c r="A1" t="s">
        <v>52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</row>
    <row r="2" spans="1:13">
      <c r="A2" t="s">
        <v>53</v>
      </c>
      <c r="B2">
        <v>8000</v>
      </c>
      <c r="C2">
        <v>8000</v>
      </c>
      <c r="D2">
        <v>8000</v>
      </c>
      <c r="E2">
        <v>8000</v>
      </c>
      <c r="F2">
        <v>8000</v>
      </c>
      <c r="G2" s="108">
        <f>AVERAGE(B$19:B$20)+AVERAGE(B$26:B$27)</f>
        <v>604.9264363038119</v>
      </c>
      <c r="H2" s="108">
        <f>AVERAGE(B$21:B$22)+AVERAGE(B$28:B$29)</f>
        <v>590.73982428003785</v>
      </c>
      <c r="I2">
        <v>587.1959455944243</v>
      </c>
    </row>
    <row r="3" spans="1:13">
      <c r="A3" t="s">
        <v>54</v>
      </c>
      <c r="B3">
        <v>8000</v>
      </c>
      <c r="C3">
        <v>8000</v>
      </c>
      <c r="D3">
        <v>8000</v>
      </c>
      <c r="E3">
        <v>8000</v>
      </c>
      <c r="F3">
        <v>8000</v>
      </c>
      <c r="G3" s="108">
        <f>AVERAGE(C$19:C$20)+AVERAGE(C$26:C$27)</f>
        <v>650.43202004126624</v>
      </c>
      <c r="H3" s="108">
        <f>AVERAGE(C$21:C$22)+AVERAGE(C$28:C$29)</f>
        <v>642.76999894452149</v>
      </c>
      <c r="I3">
        <v>642.97664313306473</v>
      </c>
      <c r="M3" s="111" t="s">
        <v>126</v>
      </c>
    </row>
    <row r="4" spans="1:13">
      <c r="A4" t="s">
        <v>55</v>
      </c>
      <c r="B4">
        <v>8000</v>
      </c>
      <c r="C4">
        <v>8000</v>
      </c>
      <c r="D4">
        <v>8000</v>
      </c>
      <c r="E4">
        <v>8000</v>
      </c>
      <c r="F4">
        <v>8000</v>
      </c>
      <c r="G4" s="108">
        <f>AVERAGE(D$19:D$20)+AVERAGE(D$26:D$27)</f>
        <v>608.13303498056871</v>
      </c>
      <c r="H4" s="108">
        <f>AVERAGE(D$21:D$22)+AVERAGE(D$28:D$29)</f>
        <v>596.18403777918206</v>
      </c>
      <c r="I4">
        <v>596.01325506206376</v>
      </c>
    </row>
    <row r="5" spans="1:13">
      <c r="A5" t="s">
        <v>56</v>
      </c>
      <c r="B5">
        <v>8000</v>
      </c>
      <c r="C5">
        <v>8000</v>
      </c>
      <c r="D5">
        <v>8000</v>
      </c>
      <c r="E5">
        <v>8000</v>
      </c>
      <c r="F5">
        <v>8000</v>
      </c>
      <c r="G5" s="108">
        <f>AVERAGE(E19:E$20)+AVERAGE(E26:E$27)</f>
        <v>719.91697482154484</v>
      </c>
      <c r="H5" s="108">
        <f>AVERAGE(E$21:E$22)+AVERAGE(E$28:E$29)</f>
        <v>719.7183246936363</v>
      </c>
      <c r="I5">
        <v>625.50098608423707</v>
      </c>
    </row>
    <row r="6" spans="1:13">
      <c r="A6" t="s">
        <v>57</v>
      </c>
      <c r="B6">
        <v>8000</v>
      </c>
      <c r="C6">
        <v>8000</v>
      </c>
      <c r="D6">
        <v>8000</v>
      </c>
      <c r="E6">
        <v>8000</v>
      </c>
      <c r="F6">
        <v>8000</v>
      </c>
      <c r="G6" s="108">
        <f>AVERAGE(F$19:F$20)+AVERAGE(F$26:F$27)</f>
        <v>590.77944068039915</v>
      </c>
      <c r="H6" s="108">
        <f>AVERAGE(F$21:F$22)+AVERAGE(F$28:F$29)</f>
        <v>589.91511717691674</v>
      </c>
      <c r="I6">
        <v>585.51402597447111</v>
      </c>
    </row>
    <row r="7" spans="1:13">
      <c r="A7" t="s">
        <v>58</v>
      </c>
      <c r="B7">
        <v>8000</v>
      </c>
      <c r="C7">
        <v>8000</v>
      </c>
      <c r="D7">
        <v>8000</v>
      </c>
      <c r="E7">
        <v>8000</v>
      </c>
      <c r="F7">
        <v>8000</v>
      </c>
      <c r="G7" s="108">
        <f>AVERAGE(G$19:G$20)+AVERAGE(G$26:G$27)</f>
        <v>680.53227079087401</v>
      </c>
      <c r="H7" s="108">
        <f>AVERAGE(G$21:G$22)+AVERAGE(G$28:G$29)</f>
        <v>683.18715582111111</v>
      </c>
      <c r="I7">
        <v>601.24975969460684</v>
      </c>
    </row>
    <row r="8" spans="1:13">
      <c r="A8" t="s">
        <v>59</v>
      </c>
      <c r="B8">
        <v>8000</v>
      </c>
      <c r="C8">
        <v>8000</v>
      </c>
      <c r="D8">
        <v>8000</v>
      </c>
      <c r="E8">
        <v>8000</v>
      </c>
      <c r="F8">
        <v>8000</v>
      </c>
      <c r="G8" s="108">
        <f>AVERAGE(H$19:H$20)+AVERAGE(H$26:H$27)</f>
        <v>572.17832378442733</v>
      </c>
      <c r="H8" s="108">
        <f>AVERAGE(H$21:H$22)+AVERAGE(H$28:H$29)</f>
        <v>570.03272311919477</v>
      </c>
      <c r="I8">
        <v>572.10297534223923</v>
      </c>
    </row>
    <row r="9" spans="1:13">
      <c r="A9" t="s">
        <v>60</v>
      </c>
      <c r="B9">
        <v>8000</v>
      </c>
      <c r="C9">
        <v>8000</v>
      </c>
      <c r="D9">
        <v>8000</v>
      </c>
      <c r="E9">
        <v>8000</v>
      </c>
      <c r="F9">
        <v>8000</v>
      </c>
      <c r="G9" s="108">
        <f>AVERAGE(I$19:I$20)+AVERAGE(I$26:I$27)</f>
        <v>662.12149864496894</v>
      </c>
      <c r="H9" s="108">
        <f>AVERAGE(I$21:I$22)+AVERAGE(I$28:I$29)</f>
        <v>654.95271105401025</v>
      </c>
      <c r="I9">
        <v>632.96757444140837</v>
      </c>
    </row>
    <row r="10" spans="1:13">
      <c r="A10" t="s">
        <v>61</v>
      </c>
      <c r="B10">
        <v>8000</v>
      </c>
      <c r="C10">
        <v>8000</v>
      </c>
      <c r="D10">
        <v>8000</v>
      </c>
      <c r="E10">
        <v>8000</v>
      </c>
      <c r="F10">
        <v>8000</v>
      </c>
      <c r="G10" s="108">
        <f>AVERAGE(I$19:I$20)+AVERAGE(I$26:I$27)</f>
        <v>662.12149864496894</v>
      </c>
      <c r="H10" s="108">
        <f>AVERAGE(J$21:J$22)+AVERAGE(J$28:J$29)</f>
        <v>743.02752063190474</v>
      </c>
      <c r="I10">
        <v>643.05815345653593</v>
      </c>
    </row>
    <row r="11" spans="1:13">
      <c r="A11" t="s">
        <v>62</v>
      </c>
      <c r="B11">
        <v>8000</v>
      </c>
      <c r="C11">
        <v>8000</v>
      </c>
      <c r="D11">
        <v>8000</v>
      </c>
      <c r="E11">
        <v>8000</v>
      </c>
      <c r="F11">
        <v>8000</v>
      </c>
      <c r="G11" s="108">
        <f>AVERAGE(J$19:J$20)+AVERAGE(J$26:J$27)</f>
        <v>720.0442265931124</v>
      </c>
      <c r="H11" s="108">
        <f>AVERAGE(K$21:K$22)+AVERAGE(K$28:K$29)</f>
        <v>638.92733407978187</v>
      </c>
      <c r="I11">
        <v>637.07649679875021</v>
      </c>
    </row>
    <row r="12" spans="1:13">
      <c r="A12" t="s">
        <v>63</v>
      </c>
      <c r="B12">
        <v>8000</v>
      </c>
      <c r="C12">
        <v>8000</v>
      </c>
      <c r="D12">
        <v>8000</v>
      </c>
      <c r="E12">
        <v>8000</v>
      </c>
      <c r="F12">
        <v>8000</v>
      </c>
      <c r="G12" s="108">
        <f>AVERAGE(K$19:K$20)+AVERAGE(K$26:K$27)</f>
        <v>613.21383377928169</v>
      </c>
      <c r="H12" s="108">
        <f>AVERAGE(L$21:L$22)+AVERAGE(L$28:L$29)</f>
        <v>584.3710402368265</v>
      </c>
      <c r="I12">
        <v>483.62377753089919</v>
      </c>
    </row>
    <row r="13" spans="1:13">
      <c r="A13" t="s">
        <v>64</v>
      </c>
      <c r="B13">
        <v>8000</v>
      </c>
      <c r="C13">
        <v>8000</v>
      </c>
      <c r="D13">
        <v>8000</v>
      </c>
      <c r="E13">
        <v>8000</v>
      </c>
      <c r="F13">
        <v>8000</v>
      </c>
      <c r="G13" s="108">
        <f>AVERAGE(M$19:M$20)+AVERAGE(M$26:M$27)</f>
        <v>606.97547465575167</v>
      </c>
      <c r="H13" s="108">
        <f>AVERAGE(M$21:M$22)+AVERAGE(M$28:M$29)</f>
        <v>619.77869868624032</v>
      </c>
      <c r="I13">
        <v>587.52112065980646</v>
      </c>
    </row>
    <row r="16" spans="1:13">
      <c r="A16" s="134" t="s">
        <v>127</v>
      </c>
      <c r="B16" s="134"/>
      <c r="C16" s="134"/>
      <c r="D16" s="13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4" t="s">
        <v>125</v>
      </c>
    </row>
    <row r="18" spans="1:13">
      <c r="B18" t="s">
        <v>65</v>
      </c>
      <c r="C18" t="s">
        <v>66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 t="s">
        <v>60</v>
      </c>
      <c r="J18" t="s">
        <v>72</v>
      </c>
      <c r="K18" t="s">
        <v>73</v>
      </c>
      <c r="L18" t="s">
        <v>74</v>
      </c>
      <c r="M18" t="s">
        <v>75</v>
      </c>
    </row>
    <row r="19" spans="1:13">
      <c r="A19" s="2" t="s">
        <v>76</v>
      </c>
      <c r="B19" s="114">
        <v>601.5625</v>
      </c>
      <c r="C19" s="114">
        <v>507.03125</v>
      </c>
      <c r="D19" s="114">
        <v>614.5302734375</v>
      </c>
      <c r="E19" s="114">
        <v>517.96123046875005</v>
      </c>
      <c r="F19" s="114">
        <v>562.71158854166663</v>
      </c>
      <c r="G19" s="114">
        <v>474.28548177083331</v>
      </c>
      <c r="H19" s="114">
        <v>480.91785024007157</v>
      </c>
      <c r="I19" s="114">
        <v>570.58050028483069</v>
      </c>
      <c r="J19" s="114">
        <v>618.76627604166663</v>
      </c>
      <c r="K19" s="114">
        <v>521.53157552083326</v>
      </c>
      <c r="L19" s="114">
        <v>337.22058461507157</v>
      </c>
      <c r="M19" s="114">
        <v>400.09221903483069</v>
      </c>
    </row>
    <row r="20" spans="1:13">
      <c r="A20" s="2" t="s">
        <v>77</v>
      </c>
      <c r="B20" s="117">
        <v>523.61539713541663</v>
      </c>
      <c r="C20" s="117">
        <v>621.23860677083326</v>
      </c>
      <c r="D20" s="117">
        <v>459.71798070271814</v>
      </c>
      <c r="E20" s="117">
        <v>559.6566721598308</v>
      </c>
      <c r="F20" s="117">
        <v>452.41007486979163</v>
      </c>
      <c r="G20" s="117">
        <v>550.76009114583326</v>
      </c>
      <c r="H20" s="117">
        <v>504.41211700439453</v>
      </c>
      <c r="I20" s="117">
        <v>614.06692504882813</v>
      </c>
      <c r="J20" s="117">
        <v>449.58686955769855</v>
      </c>
      <c r="K20" s="117">
        <v>547.32314554850257</v>
      </c>
      <c r="L20" s="117">
        <v>479.15730794270837</v>
      </c>
      <c r="M20" s="117">
        <v>583.32194010416674</v>
      </c>
    </row>
    <row r="21" spans="1:13">
      <c r="A21" s="3" t="s">
        <v>78</v>
      </c>
      <c r="B21" s="114">
        <v>589.56162007649743</v>
      </c>
      <c r="C21" s="114">
        <v>496.916222635905</v>
      </c>
      <c r="D21" s="114">
        <v>627.97456868489576</v>
      </c>
      <c r="E21" s="114">
        <v>529.2928507486979</v>
      </c>
      <c r="F21" s="114">
        <v>573.81364949544275</v>
      </c>
      <c r="G21" s="114">
        <v>483.64293314615884</v>
      </c>
      <c r="H21" s="114">
        <v>487.50970662434901</v>
      </c>
      <c r="I21" s="114">
        <v>578.40134684244799</v>
      </c>
      <c r="J21" s="114">
        <v>634.278798421224</v>
      </c>
      <c r="K21" s="114">
        <v>534.60641581217442</v>
      </c>
      <c r="L21" s="114">
        <v>331.44821268717448</v>
      </c>
      <c r="M21" s="114">
        <v>393.24364217122394</v>
      </c>
    </row>
    <row r="22" spans="1:13">
      <c r="A22" s="3" t="s">
        <v>79</v>
      </c>
      <c r="B22" s="113">
        <v>518.19193929036453</v>
      </c>
      <c r="C22" s="113">
        <v>614.80399576822913</v>
      </c>
      <c r="D22" s="113">
        <v>449.37264251708984</v>
      </c>
      <c r="E22" s="113">
        <v>547.06234741210938</v>
      </c>
      <c r="F22" s="113">
        <v>440.17199325561523</v>
      </c>
      <c r="G22" s="113">
        <v>535.86155700683594</v>
      </c>
      <c r="H22" s="113">
        <v>486.67944081624347</v>
      </c>
      <c r="I22" s="113">
        <v>592.47931925455725</v>
      </c>
      <c r="J22" s="113">
        <v>473.8359375</v>
      </c>
      <c r="K22" s="113">
        <v>576.84375</v>
      </c>
      <c r="L22" s="113">
        <v>501.61099243164063</v>
      </c>
      <c r="M22" s="113">
        <v>610.6568603515625</v>
      </c>
    </row>
    <row r="23" spans="1:13"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1:13">
      <c r="A24" s="4" t="s">
        <v>80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1:13">
      <c r="B25" s="112" t="s">
        <v>65</v>
      </c>
      <c r="C25" s="112" t="s">
        <v>66</v>
      </c>
      <c r="D25" s="112" t="s">
        <v>67</v>
      </c>
      <c r="E25" s="112" t="s">
        <v>68</v>
      </c>
      <c r="F25" s="112" t="s">
        <v>69</v>
      </c>
      <c r="G25" s="112" t="s">
        <v>70</v>
      </c>
      <c r="H25" s="112" t="s">
        <v>71</v>
      </c>
      <c r="I25" s="112" t="s">
        <v>60</v>
      </c>
      <c r="J25" s="112" t="s">
        <v>72</v>
      </c>
      <c r="K25" s="112" t="s">
        <v>73</v>
      </c>
      <c r="L25" s="112" t="s">
        <v>74</v>
      </c>
      <c r="M25" s="112" t="s">
        <v>75</v>
      </c>
    </row>
    <row r="26" spans="1:13">
      <c r="A26" s="2" t="s">
        <v>76</v>
      </c>
      <c r="B26" s="116">
        <v>44.995398100858893</v>
      </c>
      <c r="C26" s="116">
        <v>86.142110315168864</v>
      </c>
      <c r="D26" s="116">
        <v>71.136993597753289</v>
      </c>
      <c r="E26" s="116">
        <v>87.115251813616069</v>
      </c>
      <c r="F26" s="116">
        <v>79.321966135723997</v>
      </c>
      <c r="G26" s="116">
        <v>91.08651676533384</v>
      </c>
      <c r="H26" s="116">
        <v>81.464737222801816</v>
      </c>
      <c r="I26" s="116">
        <v>48.509055190945269</v>
      </c>
      <c r="J26" s="116">
        <v>84.093675696331516</v>
      </c>
      <c r="K26" s="116">
        <v>76.141731593919843</v>
      </c>
      <c r="L26" s="116">
        <v>64.969022194050851</v>
      </c>
      <c r="M26" s="116">
        <v>77.350300095836573</v>
      </c>
    </row>
    <row r="27" spans="1:13">
      <c r="A27" s="2" t="s">
        <v>77</v>
      </c>
      <c r="B27" s="115">
        <v>39.679577371348508</v>
      </c>
      <c r="C27" s="115">
        <v>86.452072996530475</v>
      </c>
      <c r="D27" s="115">
        <v>70.880822223165765</v>
      </c>
      <c r="E27" s="115">
        <v>275.10079520089283</v>
      </c>
      <c r="F27" s="115">
        <v>87.115251813616069</v>
      </c>
      <c r="G27" s="115">
        <v>244.93245189974766</v>
      </c>
      <c r="H27" s="115">
        <v>77.561943101586763</v>
      </c>
      <c r="I27" s="115">
        <v>91.08651676533384</v>
      </c>
      <c r="J27" s="115">
        <v>287.64163189052795</v>
      </c>
      <c r="K27" s="115">
        <v>81.431214895307647</v>
      </c>
      <c r="L27" s="115">
        <v>257.15120493255046</v>
      </c>
      <c r="M27" s="115">
        <v>153.18649007666926</v>
      </c>
    </row>
    <row r="28" spans="1:13">
      <c r="A28" s="3" t="s">
        <v>78</v>
      </c>
      <c r="B28" s="116">
        <v>33.319165910993306</v>
      </c>
      <c r="C28" s="116">
        <v>87.116533930997676</v>
      </c>
      <c r="D28" s="116">
        <v>57.339649461070948</v>
      </c>
      <c r="E28" s="116">
        <v>87.32338700383346</v>
      </c>
      <c r="F28" s="116">
        <v>78.521204598942163</v>
      </c>
      <c r="G28" s="116">
        <v>91.497514618109477</v>
      </c>
      <c r="H28" s="116">
        <v>85.008401621942937</v>
      </c>
      <c r="I28" s="116">
        <v>47.527241392905665</v>
      </c>
      <c r="J28" s="116">
        <v>89.000785495923907</v>
      </c>
      <c r="K28" s="116">
        <v>81.351413892663047</v>
      </c>
      <c r="L28" s="116">
        <v>67.094174971491654</v>
      </c>
      <c r="M28" s="116">
        <v>85.570869398413237</v>
      </c>
    </row>
    <row r="29" spans="1:13">
      <c r="A29" s="3" t="s">
        <v>79</v>
      </c>
      <c r="B29" s="115">
        <v>40.406923282220497</v>
      </c>
      <c r="C29" s="115">
        <v>86.703245553911103</v>
      </c>
      <c r="D29" s="115">
        <v>57.681214895307647</v>
      </c>
      <c r="E29" s="115">
        <v>275.75806422263196</v>
      </c>
      <c r="F29" s="115">
        <v>87.32338700383346</v>
      </c>
      <c r="G29" s="115">
        <v>255.37230687111801</v>
      </c>
      <c r="H29" s="115">
        <v>80.86789717585404</v>
      </c>
      <c r="I29" s="115">
        <v>91.497514618109477</v>
      </c>
      <c r="J29" s="115">
        <v>288.93951984666148</v>
      </c>
      <c r="K29" s="115">
        <v>85.053088454726321</v>
      </c>
      <c r="L29" s="115">
        <v>268.58870038334629</v>
      </c>
      <c r="M29" s="115">
        <v>150.08602545128105</v>
      </c>
    </row>
  </sheetData>
  <mergeCells count="1">
    <mergeCell ref="A16:D16"/>
  </mergeCells>
  <conditionalFormatting sqref="B26:M27 A19:M22">
    <cfRule type="expression" dxfId="3" priority="4" stopIfTrue="1">
      <formula>MOD(ROW(),2)=1</formula>
    </cfRule>
  </conditionalFormatting>
  <conditionalFormatting sqref="B29:M29">
    <cfRule type="expression" dxfId="2" priority="3" stopIfTrue="1">
      <formula>MOD(ROW(),2)=1</formula>
    </cfRule>
  </conditionalFormatting>
  <conditionalFormatting sqref="B28:M28">
    <cfRule type="expression" dxfId="1" priority="2" stopIfTrue="1">
      <formula>MOD(ROW(),2)=1</formula>
    </cfRule>
  </conditionalFormatting>
  <conditionalFormatting sqref="A26:A29">
    <cfRule type="expression" dxfId="0" priority="1" stopIfTrue="1">
      <formula>MOD(ROW(),2)=1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C10" sqref="C10"/>
    </sheetView>
  </sheetViews>
  <sheetFormatPr defaultRowHeight="14.5"/>
  <cols>
    <col min="1" max="1" width="16.453125" bestFit="1" customWidth="1"/>
    <col min="2" max="2" width="50" bestFit="1" customWidth="1"/>
    <col min="3" max="13" width="13.6328125" bestFit="1" customWidth="1"/>
    <col min="14" max="14" width="6.6328125" bestFit="1" customWidth="1"/>
  </cols>
  <sheetData>
    <row r="1" spans="1:14" ht="29.5">
      <c r="B1" s="94" t="s">
        <v>81</v>
      </c>
    </row>
    <row r="2" spans="1:14"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 s="104" t="s">
        <v>82</v>
      </c>
    </row>
    <row r="3" spans="1:14">
      <c r="A3" t="s">
        <v>132</v>
      </c>
      <c r="B3" s="125">
        <f>B5+B4</f>
        <v>1913226.3862006965</v>
      </c>
      <c r="C3" s="125">
        <f>C5+C4</f>
        <v>1980402.4684806298</v>
      </c>
      <c r="D3" s="125">
        <f>D5+D4</f>
        <v>2082060</v>
      </c>
      <c r="E3" s="125">
        <f>E5+E4</f>
        <v>2144024.0665980717</v>
      </c>
      <c r="F3" s="125">
        <f t="shared" ref="F3:G3" si="0">F5+F4</f>
        <v>2114337.5236307066</v>
      </c>
      <c r="G3" s="125">
        <f t="shared" si="0"/>
        <v>2217741.9845026769</v>
      </c>
      <c r="H3" s="125">
        <f>H5+H4</f>
        <v>2278102.6378233959</v>
      </c>
      <c r="I3" s="125">
        <f>I5+I4</f>
        <v>2232928.8177673318</v>
      </c>
      <c r="J3" s="125">
        <f t="shared" ref="J3:L3" si="1">J5+J4</f>
        <v>2056349.2818634599</v>
      </c>
      <c r="K3" s="125">
        <f t="shared" si="1"/>
        <v>2142864.9036303088</v>
      </c>
      <c r="L3" s="125">
        <f t="shared" si="1"/>
        <v>1959062.3540323279</v>
      </c>
      <c r="M3" s="125">
        <f>AVERAGE(H3:L3)</f>
        <v>2133861.5990233649</v>
      </c>
    </row>
    <row r="4" spans="1:14">
      <c r="A4" t="s">
        <v>130</v>
      </c>
      <c r="B4" s="125">
        <v>108601.46712</v>
      </c>
      <c r="C4" s="125">
        <v>108304.7418</v>
      </c>
      <c r="D4" s="125">
        <v>106510</v>
      </c>
      <c r="E4" s="125">
        <v>106510</v>
      </c>
      <c r="F4" s="125">
        <v>33560</v>
      </c>
      <c r="G4" s="125">
        <v>33469</v>
      </c>
      <c r="H4" s="125">
        <v>23139.58692419</v>
      </c>
      <c r="I4" s="125">
        <v>33391.632327569998</v>
      </c>
      <c r="J4" s="125">
        <v>4303.2443999999996</v>
      </c>
      <c r="K4" s="125">
        <v>4290.5085600000002</v>
      </c>
      <c r="L4" s="125">
        <v>4277</v>
      </c>
      <c r="M4" s="125">
        <f t="shared" ref="M4:M5" si="2">AVERAGE(H4:L4)</f>
        <v>13880.394442352001</v>
      </c>
    </row>
    <row r="5" spans="1:14" ht="15" thickBot="1">
      <c r="A5" t="s">
        <v>131</v>
      </c>
      <c r="B5" s="125">
        <v>1804624.9190806965</v>
      </c>
      <c r="C5" s="125">
        <v>1872097.7266806299</v>
      </c>
      <c r="D5" s="125">
        <v>1975550</v>
      </c>
      <c r="E5" s="125">
        <v>2037514.0665980717</v>
      </c>
      <c r="F5" s="125">
        <v>2080777.5236307068</v>
      </c>
      <c r="G5" s="125">
        <v>2184272.9845026769</v>
      </c>
      <c r="H5" s="125">
        <v>2254963.0508992057</v>
      </c>
      <c r="I5" s="125">
        <v>2199537.1854397617</v>
      </c>
      <c r="J5" s="125">
        <v>2052046.0374634599</v>
      </c>
      <c r="K5" s="125">
        <v>2138574.3950703088</v>
      </c>
      <c r="L5" s="125">
        <v>1954785.3540323279</v>
      </c>
      <c r="M5" s="125">
        <f t="shared" si="2"/>
        <v>2119981.2045810129</v>
      </c>
    </row>
    <row r="6" spans="1:14" ht="15" thickBot="1">
      <c r="B6" s="136" t="s">
        <v>83</v>
      </c>
      <c r="C6" s="137"/>
      <c r="D6" s="137" t="s">
        <v>84</v>
      </c>
      <c r="E6" s="137"/>
      <c r="F6" s="137" t="s">
        <v>27</v>
      </c>
      <c r="G6" s="137"/>
      <c r="H6" s="137"/>
      <c r="I6" s="137"/>
      <c r="J6" s="137" t="s">
        <v>124</v>
      </c>
      <c r="K6" s="137"/>
      <c r="L6" s="137" t="s">
        <v>133</v>
      </c>
      <c r="M6" s="137"/>
      <c r="N6" s="107" t="s">
        <v>85</v>
      </c>
    </row>
    <row r="7" spans="1:14">
      <c r="B7" s="135" t="s">
        <v>129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</row>
    <row r="10" spans="1:14">
      <c r="C10" s="126"/>
    </row>
    <row r="12" spans="1:14" ht="15.5">
      <c r="H12" s="118"/>
    </row>
  </sheetData>
  <mergeCells count="6">
    <mergeCell ref="B7:L7"/>
    <mergeCell ref="B6:C6"/>
    <mergeCell ref="D6:E6"/>
    <mergeCell ref="F6:I6"/>
    <mergeCell ref="J6:K6"/>
    <mergeCell ref="L6:M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0"/>
  <sheetViews>
    <sheetView zoomScale="70" zoomScaleNormal="70" workbookViewId="0">
      <selection activeCell="T28" sqref="T28"/>
    </sheetView>
  </sheetViews>
  <sheetFormatPr defaultRowHeight="14.5"/>
  <cols>
    <col min="1" max="1" width="9.81640625" bestFit="1" customWidth="1"/>
    <col min="8" max="8" width="8.7265625" customWidth="1"/>
  </cols>
  <sheetData>
    <row r="1" spans="1:13">
      <c r="A1" t="s">
        <v>52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 s="104" t="s">
        <v>82</v>
      </c>
    </row>
    <row r="2" spans="1:13">
      <c r="A2" t="s">
        <v>53</v>
      </c>
      <c r="B2">
        <f t="shared" ref="B2:B13" si="0">AVERAGE(B19:C19)</f>
        <v>28.08</v>
      </c>
      <c r="C2">
        <f>B2</f>
        <v>28.08</v>
      </c>
      <c r="D2">
        <f t="shared" ref="D2:D13" si="1">AVERAGE(D19:E19)</f>
        <v>32.270000000000003</v>
      </c>
      <c r="E2">
        <f>D2</f>
        <v>32.270000000000003</v>
      </c>
      <c r="F2">
        <f t="shared" ref="F2:F13" si="2">AVERAGE(F19:G19)</f>
        <v>34.655000000000001</v>
      </c>
      <c r="G2">
        <f>F2</f>
        <v>34.655000000000001</v>
      </c>
      <c r="H2">
        <f>AVERAGE(H19:I19)</f>
        <v>37.365000000000002</v>
      </c>
      <c r="I2">
        <f>H2</f>
        <v>37.365000000000002</v>
      </c>
      <c r="J2">
        <f>AVERAGE(J19:K19)</f>
        <v>36.549999999999997</v>
      </c>
      <c r="K2">
        <f>J2</f>
        <v>36.549999999999997</v>
      </c>
      <c r="L2">
        <f t="shared" ref="L2:L13" si="3">AVERAGE(L19:M19)</f>
        <v>35.204999999999998</v>
      </c>
      <c r="M2">
        <f>AVERAGE(H2:L2)</f>
        <v>36.606999999999992</v>
      </c>
    </row>
    <row r="3" spans="1:13">
      <c r="A3" t="s">
        <v>54</v>
      </c>
      <c r="B3">
        <f t="shared" si="0"/>
        <v>28.435000000000002</v>
      </c>
      <c r="C3">
        <f t="shared" ref="C3:C13" si="4">B3</f>
        <v>28.435000000000002</v>
      </c>
      <c r="D3">
        <f t="shared" si="1"/>
        <v>36.174999999999997</v>
      </c>
      <c r="E3">
        <f t="shared" ref="E3:E13" si="5">D3</f>
        <v>36.174999999999997</v>
      </c>
      <c r="F3">
        <f t="shared" si="2"/>
        <v>35.369999999999997</v>
      </c>
      <c r="G3">
        <f t="shared" ref="G3:G13" si="6">F3</f>
        <v>35.369999999999997</v>
      </c>
      <c r="H3">
        <f t="shared" ref="H3:H12" si="7">AVERAGE(H20:I20)</f>
        <v>38.755000000000003</v>
      </c>
      <c r="I3">
        <f t="shared" ref="I3:I13" si="8">H3</f>
        <v>38.755000000000003</v>
      </c>
      <c r="J3">
        <f t="shared" ref="J3:J13" si="9">AVERAGE(J20:K20)</f>
        <v>38.704999999999998</v>
      </c>
      <c r="K3">
        <f t="shared" ref="K3:K13" si="10">J3</f>
        <v>38.704999999999998</v>
      </c>
      <c r="L3">
        <f t="shared" si="3"/>
        <v>36.534999999999997</v>
      </c>
      <c r="M3">
        <f t="shared" ref="M3:M13" si="11">AVERAGE(H3:L3)</f>
        <v>38.291000000000004</v>
      </c>
    </row>
    <row r="4" spans="1:13">
      <c r="A4" t="s">
        <v>55</v>
      </c>
      <c r="B4">
        <f t="shared" si="0"/>
        <v>30.795000000000002</v>
      </c>
      <c r="C4">
        <f t="shared" si="4"/>
        <v>30.795000000000002</v>
      </c>
      <c r="D4">
        <f t="shared" si="1"/>
        <v>38.814999999999998</v>
      </c>
      <c r="E4">
        <f t="shared" si="5"/>
        <v>38.814999999999998</v>
      </c>
      <c r="F4">
        <f t="shared" si="2"/>
        <v>35.870000000000005</v>
      </c>
      <c r="G4">
        <f t="shared" si="6"/>
        <v>35.870000000000005</v>
      </c>
      <c r="H4">
        <f t="shared" si="7"/>
        <v>41.19</v>
      </c>
      <c r="I4">
        <f t="shared" si="8"/>
        <v>41.19</v>
      </c>
      <c r="J4">
        <f t="shared" si="9"/>
        <v>41.015000000000001</v>
      </c>
      <c r="K4">
        <f t="shared" si="10"/>
        <v>41.015000000000001</v>
      </c>
      <c r="L4">
        <f t="shared" si="3"/>
        <v>41.515000000000001</v>
      </c>
      <c r="M4">
        <f t="shared" si="11"/>
        <v>41.185000000000002</v>
      </c>
    </row>
    <row r="5" spans="1:13">
      <c r="A5" t="s">
        <v>56</v>
      </c>
      <c r="B5">
        <f t="shared" si="0"/>
        <v>29.414999999999999</v>
      </c>
      <c r="C5">
        <f t="shared" si="4"/>
        <v>29.414999999999999</v>
      </c>
      <c r="D5">
        <f t="shared" si="1"/>
        <v>36.995000000000005</v>
      </c>
      <c r="E5">
        <f t="shared" si="5"/>
        <v>36.995000000000005</v>
      </c>
      <c r="F5">
        <f t="shared" si="2"/>
        <v>36.375</v>
      </c>
      <c r="G5">
        <f t="shared" si="6"/>
        <v>36.375</v>
      </c>
      <c r="H5">
        <f t="shared" si="7"/>
        <v>39.369999999999997</v>
      </c>
      <c r="I5">
        <f t="shared" si="8"/>
        <v>39.369999999999997</v>
      </c>
      <c r="J5">
        <f t="shared" si="9"/>
        <v>37.414999999999999</v>
      </c>
      <c r="K5">
        <f t="shared" si="10"/>
        <v>37.414999999999999</v>
      </c>
      <c r="L5">
        <f t="shared" si="3"/>
        <v>36.18</v>
      </c>
      <c r="M5">
        <f t="shared" si="11"/>
        <v>37.950000000000003</v>
      </c>
    </row>
    <row r="6" spans="1:13">
      <c r="A6" t="s">
        <v>57</v>
      </c>
      <c r="B6">
        <f t="shared" si="0"/>
        <v>30.599999999999998</v>
      </c>
      <c r="C6">
        <f t="shared" si="4"/>
        <v>30.599999999999998</v>
      </c>
      <c r="D6">
        <f t="shared" si="1"/>
        <v>36.504999999999995</v>
      </c>
      <c r="E6">
        <f t="shared" si="5"/>
        <v>36.504999999999995</v>
      </c>
      <c r="F6">
        <f t="shared" si="2"/>
        <v>36.015000000000001</v>
      </c>
      <c r="G6">
        <f t="shared" si="6"/>
        <v>36.015000000000001</v>
      </c>
      <c r="H6">
        <f t="shared" si="7"/>
        <v>38.989999999999995</v>
      </c>
      <c r="I6">
        <f t="shared" si="8"/>
        <v>38.989999999999995</v>
      </c>
      <c r="J6">
        <f t="shared" si="9"/>
        <v>37.01</v>
      </c>
      <c r="K6">
        <f t="shared" si="10"/>
        <v>37.01</v>
      </c>
      <c r="L6">
        <f t="shared" si="3"/>
        <v>37.65</v>
      </c>
      <c r="M6">
        <f t="shared" si="11"/>
        <v>37.929999999999993</v>
      </c>
    </row>
    <row r="7" spans="1:13">
      <c r="A7" t="s">
        <v>58</v>
      </c>
      <c r="B7">
        <f t="shared" si="0"/>
        <v>29.5</v>
      </c>
      <c r="C7">
        <f t="shared" si="4"/>
        <v>29.5</v>
      </c>
      <c r="D7">
        <f t="shared" si="1"/>
        <v>30.425000000000001</v>
      </c>
      <c r="E7">
        <f t="shared" si="5"/>
        <v>30.425000000000001</v>
      </c>
      <c r="F7">
        <f>AVERAGE(F24:G24)</f>
        <v>32.575000000000003</v>
      </c>
      <c r="G7">
        <f t="shared" si="6"/>
        <v>32.575000000000003</v>
      </c>
      <c r="H7">
        <f t="shared" si="7"/>
        <v>35.024999999999999</v>
      </c>
      <c r="I7">
        <f t="shared" si="8"/>
        <v>35.024999999999999</v>
      </c>
      <c r="J7">
        <f t="shared" si="9"/>
        <v>32.840000000000003</v>
      </c>
      <c r="K7">
        <f t="shared" si="10"/>
        <v>32.840000000000003</v>
      </c>
      <c r="L7">
        <f t="shared" si="3"/>
        <v>34.114999999999995</v>
      </c>
      <c r="M7">
        <f>AVERAGE(H7:L7)</f>
        <v>33.969000000000008</v>
      </c>
    </row>
    <row r="8" spans="1:13">
      <c r="A8" t="s">
        <v>59</v>
      </c>
      <c r="B8">
        <f t="shared" si="0"/>
        <v>27.52</v>
      </c>
      <c r="C8">
        <f t="shared" si="4"/>
        <v>27.52</v>
      </c>
      <c r="D8">
        <f t="shared" si="1"/>
        <v>25.7</v>
      </c>
      <c r="E8">
        <f t="shared" si="5"/>
        <v>25.7</v>
      </c>
      <c r="F8">
        <f t="shared" si="2"/>
        <v>31.55</v>
      </c>
      <c r="G8">
        <f t="shared" si="6"/>
        <v>31.55</v>
      </c>
      <c r="H8">
        <f t="shared" si="7"/>
        <v>31.355</v>
      </c>
      <c r="I8">
        <f t="shared" si="8"/>
        <v>31.355</v>
      </c>
      <c r="J8">
        <f t="shared" si="9"/>
        <v>31.380000000000003</v>
      </c>
      <c r="K8">
        <f t="shared" si="10"/>
        <v>31.380000000000003</v>
      </c>
      <c r="L8">
        <f t="shared" si="3"/>
        <v>29.295000000000002</v>
      </c>
      <c r="M8">
        <f t="shared" si="11"/>
        <v>30.952999999999996</v>
      </c>
    </row>
    <row r="9" spans="1:13">
      <c r="A9" t="s">
        <v>60</v>
      </c>
      <c r="B9">
        <f t="shared" si="0"/>
        <v>23.28</v>
      </c>
      <c r="C9">
        <f t="shared" si="4"/>
        <v>23.28</v>
      </c>
      <c r="D9">
        <f t="shared" si="1"/>
        <v>19.8</v>
      </c>
      <c r="E9">
        <f t="shared" si="5"/>
        <v>19.8</v>
      </c>
      <c r="F9">
        <f t="shared" si="2"/>
        <v>28.664999999999999</v>
      </c>
      <c r="G9">
        <f t="shared" si="6"/>
        <v>28.664999999999999</v>
      </c>
      <c r="H9">
        <f t="shared" si="7"/>
        <v>26.689999999999998</v>
      </c>
      <c r="I9">
        <f t="shared" si="8"/>
        <v>26.689999999999998</v>
      </c>
      <c r="J9">
        <f t="shared" si="9"/>
        <v>24.32</v>
      </c>
      <c r="K9">
        <f t="shared" si="10"/>
        <v>24.32</v>
      </c>
      <c r="L9">
        <f t="shared" si="3"/>
        <v>22.4</v>
      </c>
      <c r="M9">
        <f t="shared" si="11"/>
        <v>24.883999999999997</v>
      </c>
    </row>
    <row r="10" spans="1:13">
      <c r="A10" t="s">
        <v>61</v>
      </c>
      <c r="B10">
        <f t="shared" si="0"/>
        <v>23.045000000000002</v>
      </c>
      <c r="C10">
        <f t="shared" si="4"/>
        <v>23.045000000000002</v>
      </c>
      <c r="D10">
        <f t="shared" si="1"/>
        <v>21.409999999999997</v>
      </c>
      <c r="E10">
        <f t="shared" si="5"/>
        <v>21.409999999999997</v>
      </c>
      <c r="F10">
        <f t="shared" si="2"/>
        <v>28.98</v>
      </c>
      <c r="G10">
        <f t="shared" si="6"/>
        <v>28.98</v>
      </c>
      <c r="H10">
        <f t="shared" si="7"/>
        <v>26.259999999999998</v>
      </c>
      <c r="I10">
        <f t="shared" si="8"/>
        <v>26.259999999999998</v>
      </c>
      <c r="J10">
        <f t="shared" si="9"/>
        <v>21.29</v>
      </c>
      <c r="K10">
        <f t="shared" si="10"/>
        <v>21.29</v>
      </c>
      <c r="L10">
        <f t="shared" si="3"/>
        <v>19.995000000000001</v>
      </c>
      <c r="M10">
        <f t="shared" si="11"/>
        <v>23.018999999999998</v>
      </c>
    </row>
    <row r="11" spans="1:13">
      <c r="A11" t="s">
        <v>62</v>
      </c>
      <c r="B11">
        <f t="shared" si="0"/>
        <v>29.54</v>
      </c>
      <c r="C11">
        <f t="shared" si="4"/>
        <v>29.54</v>
      </c>
      <c r="D11">
        <f t="shared" si="1"/>
        <v>30.255000000000003</v>
      </c>
      <c r="E11">
        <f t="shared" si="5"/>
        <v>30.255000000000003</v>
      </c>
      <c r="F11">
        <f t="shared" si="2"/>
        <v>33.355000000000004</v>
      </c>
      <c r="G11">
        <f t="shared" si="6"/>
        <v>33.355000000000004</v>
      </c>
      <c r="H11">
        <f t="shared" si="7"/>
        <v>34.604999999999997</v>
      </c>
      <c r="I11">
        <f t="shared" si="8"/>
        <v>34.604999999999997</v>
      </c>
      <c r="J11">
        <f t="shared" si="9"/>
        <v>33.57</v>
      </c>
      <c r="K11">
        <f t="shared" si="10"/>
        <v>33.57</v>
      </c>
      <c r="L11">
        <f t="shared" si="3"/>
        <v>35.204999999999998</v>
      </c>
      <c r="M11">
        <f t="shared" si="11"/>
        <v>34.311</v>
      </c>
    </row>
    <row r="12" spans="1:13">
      <c r="A12" t="s">
        <v>63</v>
      </c>
      <c r="B12">
        <f t="shared" si="0"/>
        <v>31.799999999999997</v>
      </c>
      <c r="C12">
        <f t="shared" si="4"/>
        <v>31.799999999999997</v>
      </c>
      <c r="D12">
        <f t="shared" si="1"/>
        <v>33.284999999999997</v>
      </c>
      <c r="E12">
        <f t="shared" si="5"/>
        <v>33.284999999999997</v>
      </c>
      <c r="F12">
        <f t="shared" si="2"/>
        <v>36.204999999999998</v>
      </c>
      <c r="G12">
        <f t="shared" si="6"/>
        <v>36.204999999999998</v>
      </c>
      <c r="H12">
        <f t="shared" si="7"/>
        <v>38.11</v>
      </c>
      <c r="I12">
        <f t="shared" si="8"/>
        <v>38.11</v>
      </c>
      <c r="J12">
        <f t="shared" si="9"/>
        <v>37.914999999999999</v>
      </c>
      <c r="K12">
        <f t="shared" si="10"/>
        <v>37.914999999999999</v>
      </c>
      <c r="L12">
        <f t="shared" si="3"/>
        <v>37.47</v>
      </c>
      <c r="M12">
        <f t="shared" si="11"/>
        <v>37.903999999999996</v>
      </c>
    </row>
    <row r="13" spans="1:13">
      <c r="A13" t="s">
        <v>64</v>
      </c>
      <c r="B13">
        <f t="shared" si="0"/>
        <v>32.07</v>
      </c>
      <c r="C13">
        <f t="shared" si="4"/>
        <v>32.07</v>
      </c>
      <c r="D13">
        <f t="shared" si="1"/>
        <v>33.534999999999997</v>
      </c>
      <c r="E13">
        <f t="shared" si="5"/>
        <v>33.534999999999997</v>
      </c>
      <c r="F13">
        <f t="shared" si="2"/>
        <v>37.575000000000003</v>
      </c>
      <c r="G13">
        <f t="shared" si="6"/>
        <v>37.575000000000003</v>
      </c>
      <c r="H13">
        <f>AVERAGE(H30:I30)</f>
        <v>37.814999999999998</v>
      </c>
      <c r="I13">
        <f t="shared" si="8"/>
        <v>37.814999999999998</v>
      </c>
      <c r="J13">
        <f t="shared" si="9"/>
        <v>37.61</v>
      </c>
      <c r="K13">
        <f t="shared" si="10"/>
        <v>37.61</v>
      </c>
      <c r="L13">
        <f t="shared" si="3"/>
        <v>34.659999999999997</v>
      </c>
      <c r="M13">
        <f t="shared" si="11"/>
        <v>37.101999999999997</v>
      </c>
    </row>
    <row r="15" spans="1:13">
      <c r="A15" t="s">
        <v>82</v>
      </c>
      <c r="B15">
        <f>AVERAGE(B2:B13)</f>
        <v>28.673333333333336</v>
      </c>
      <c r="C15">
        <f t="shared" ref="C15:L15" si="12">AVERAGE(C2:C13)</f>
        <v>28.673333333333336</v>
      </c>
      <c r="D15">
        <f t="shared" si="12"/>
        <v>31.264166666666664</v>
      </c>
      <c r="E15">
        <f t="shared" si="12"/>
        <v>31.264166666666664</v>
      </c>
      <c r="F15">
        <f t="shared" si="12"/>
        <v>33.932500000000005</v>
      </c>
      <c r="G15">
        <f t="shared" si="12"/>
        <v>33.932500000000005</v>
      </c>
      <c r="H15">
        <f t="shared" si="12"/>
        <v>35.460833333333333</v>
      </c>
      <c r="I15">
        <f t="shared" si="12"/>
        <v>35.460833333333333</v>
      </c>
      <c r="J15">
        <f t="shared" si="12"/>
        <v>34.135000000000005</v>
      </c>
      <c r="K15">
        <f t="shared" si="12"/>
        <v>34.135000000000005</v>
      </c>
      <c r="L15">
        <f t="shared" si="12"/>
        <v>33.352083333333326</v>
      </c>
    </row>
    <row r="16" spans="1:13" ht="15" thickBot="1"/>
    <row r="17" spans="1:23">
      <c r="A17" s="95" t="s">
        <v>86</v>
      </c>
      <c r="B17" s="138" t="s">
        <v>87</v>
      </c>
      <c r="C17" s="139"/>
      <c r="D17" s="138" t="s">
        <v>88</v>
      </c>
      <c r="E17" s="139"/>
      <c r="F17" s="138" t="s">
        <v>89</v>
      </c>
      <c r="G17" s="139"/>
      <c r="H17" s="138" t="s">
        <v>90</v>
      </c>
      <c r="I17" s="139"/>
      <c r="J17" s="138" t="s">
        <v>118</v>
      </c>
      <c r="K17" s="139"/>
      <c r="L17" s="138" t="s">
        <v>121</v>
      </c>
      <c r="M17" s="139"/>
      <c r="N17" s="96" t="s">
        <v>91</v>
      </c>
      <c r="O17" s="96"/>
      <c r="R17" s="96"/>
      <c r="S17" s="96"/>
      <c r="T17" s="96"/>
      <c r="U17" s="96"/>
      <c r="V17" s="96"/>
      <c r="W17" s="96"/>
    </row>
    <row r="18" spans="1:23">
      <c r="A18" s="97"/>
      <c r="B18" s="98" t="s">
        <v>92</v>
      </c>
      <c r="C18" s="99" t="s">
        <v>93</v>
      </c>
      <c r="D18" s="98" t="s">
        <v>92</v>
      </c>
      <c r="E18" s="99" t="s">
        <v>93</v>
      </c>
      <c r="F18" s="98" t="s">
        <v>92</v>
      </c>
      <c r="G18" s="99" t="s">
        <v>93</v>
      </c>
      <c r="H18" s="98" t="s">
        <v>92</v>
      </c>
      <c r="I18" s="99" t="s">
        <v>93</v>
      </c>
      <c r="J18" s="98" t="s">
        <v>92</v>
      </c>
      <c r="K18" s="99" t="s">
        <v>93</v>
      </c>
      <c r="L18" s="98" t="s">
        <v>92</v>
      </c>
      <c r="M18" s="99" t="s">
        <v>93</v>
      </c>
      <c r="N18" s="96" t="s">
        <v>94</v>
      </c>
      <c r="O18" s="96"/>
      <c r="R18" s="96"/>
      <c r="S18" s="96"/>
      <c r="T18" s="96"/>
      <c r="U18" s="96"/>
      <c r="V18" s="96"/>
      <c r="W18" s="96"/>
    </row>
    <row r="19" spans="1:23">
      <c r="A19" s="97" t="s">
        <v>53</v>
      </c>
      <c r="B19" s="98">
        <v>31.41</v>
      </c>
      <c r="C19" s="99">
        <v>24.75</v>
      </c>
      <c r="D19" s="98">
        <v>34.35</v>
      </c>
      <c r="E19" s="99">
        <v>30.19</v>
      </c>
      <c r="F19" s="98">
        <v>36.71</v>
      </c>
      <c r="G19" s="99">
        <v>32.6</v>
      </c>
      <c r="H19" s="98">
        <v>39.49</v>
      </c>
      <c r="I19" s="99">
        <v>35.24</v>
      </c>
      <c r="J19" s="98">
        <v>39.03</v>
      </c>
      <c r="K19" s="99">
        <v>34.07</v>
      </c>
      <c r="L19" s="98">
        <v>36.03</v>
      </c>
      <c r="M19" s="99">
        <v>34.380000000000003</v>
      </c>
      <c r="N19" s="103" t="s">
        <v>117</v>
      </c>
      <c r="O19" s="96"/>
      <c r="R19" s="96"/>
      <c r="S19" s="96"/>
      <c r="T19" s="96"/>
      <c r="U19" s="96"/>
      <c r="V19" s="96"/>
      <c r="W19" s="96"/>
    </row>
    <row r="20" spans="1:23">
      <c r="A20" s="97" t="s">
        <v>54</v>
      </c>
      <c r="B20" s="98">
        <v>31.92</v>
      </c>
      <c r="C20" s="99">
        <v>24.95</v>
      </c>
      <c r="D20" s="98">
        <v>38.32</v>
      </c>
      <c r="E20" s="99">
        <v>34.03</v>
      </c>
      <c r="F20" s="98">
        <v>37.409999999999997</v>
      </c>
      <c r="G20" s="99">
        <v>33.33</v>
      </c>
      <c r="H20" s="98">
        <v>40.020000000000003</v>
      </c>
      <c r="I20" s="99">
        <v>37.49</v>
      </c>
      <c r="J20" s="98">
        <v>40.380000000000003</v>
      </c>
      <c r="K20" s="99">
        <v>37.03</v>
      </c>
      <c r="L20" s="98">
        <v>37.82</v>
      </c>
      <c r="M20" s="99">
        <v>35.25</v>
      </c>
      <c r="N20" s="96" t="s">
        <v>119</v>
      </c>
      <c r="O20" s="96"/>
    </row>
    <row r="21" spans="1:23">
      <c r="A21" s="97" t="s">
        <v>55</v>
      </c>
      <c r="B21" s="98">
        <v>34.65</v>
      </c>
      <c r="C21" s="99">
        <v>26.94</v>
      </c>
      <c r="D21" s="98">
        <v>41.6</v>
      </c>
      <c r="E21" s="99">
        <v>36.03</v>
      </c>
      <c r="F21" s="98">
        <v>38.07</v>
      </c>
      <c r="G21" s="99">
        <v>33.67</v>
      </c>
      <c r="H21" s="98">
        <v>43.03</v>
      </c>
      <c r="I21" s="99">
        <v>39.35</v>
      </c>
      <c r="J21" s="98">
        <v>43.28</v>
      </c>
      <c r="K21" s="99">
        <v>38.75</v>
      </c>
      <c r="L21" s="98">
        <v>44.87</v>
      </c>
      <c r="M21" s="99">
        <v>38.159999999999997</v>
      </c>
      <c r="N21" s="96" t="s">
        <v>120</v>
      </c>
      <c r="O21" s="96"/>
    </row>
    <row r="22" spans="1:23">
      <c r="A22" s="97" t="s">
        <v>56</v>
      </c>
      <c r="B22" s="98">
        <v>33.58</v>
      </c>
      <c r="C22" s="99">
        <v>25.25</v>
      </c>
      <c r="D22" s="98">
        <v>40.56</v>
      </c>
      <c r="E22" s="99">
        <v>33.43</v>
      </c>
      <c r="F22" s="98">
        <v>38.869999999999997</v>
      </c>
      <c r="G22" s="99">
        <v>33.880000000000003</v>
      </c>
      <c r="H22" s="98">
        <v>42.05</v>
      </c>
      <c r="I22" s="99">
        <v>36.69</v>
      </c>
      <c r="J22" s="99">
        <v>40.43</v>
      </c>
      <c r="K22" s="99">
        <v>34.4</v>
      </c>
      <c r="L22" s="98">
        <v>40.4</v>
      </c>
      <c r="M22" s="99">
        <v>31.96</v>
      </c>
      <c r="N22" s="96"/>
      <c r="O22" s="96"/>
    </row>
    <row r="23" spans="1:23">
      <c r="A23" s="97" t="s">
        <v>57</v>
      </c>
      <c r="B23" s="98">
        <v>34.479999999999997</v>
      </c>
      <c r="C23" s="99">
        <v>26.72</v>
      </c>
      <c r="D23" s="98">
        <v>39.65</v>
      </c>
      <c r="E23" s="99">
        <v>33.36</v>
      </c>
      <c r="F23" s="98">
        <v>38.5</v>
      </c>
      <c r="G23" s="99">
        <v>33.53</v>
      </c>
      <c r="H23" s="98">
        <v>41.29</v>
      </c>
      <c r="I23" s="99">
        <v>36.69</v>
      </c>
      <c r="J23" s="98">
        <v>39.549999999999997</v>
      </c>
      <c r="K23" s="99">
        <v>34.47</v>
      </c>
      <c r="L23" s="98">
        <v>40.9</v>
      </c>
      <c r="M23" s="99">
        <v>34.4</v>
      </c>
      <c r="N23" s="96"/>
      <c r="O23" s="96"/>
    </row>
    <row r="24" spans="1:23">
      <c r="A24" s="97" t="s">
        <v>58</v>
      </c>
      <c r="B24" s="98">
        <v>33.119999999999997</v>
      </c>
      <c r="C24" s="99">
        <v>25.88</v>
      </c>
      <c r="D24" s="98">
        <v>32.99</v>
      </c>
      <c r="E24" s="99">
        <v>27.86</v>
      </c>
      <c r="F24" s="98">
        <v>34.229999999999997</v>
      </c>
      <c r="G24" s="99">
        <v>30.92</v>
      </c>
      <c r="H24" s="98">
        <v>36.5</v>
      </c>
      <c r="I24" s="99">
        <v>33.549999999999997</v>
      </c>
      <c r="J24" s="98">
        <v>34.380000000000003</v>
      </c>
      <c r="K24" s="99">
        <v>31.3</v>
      </c>
      <c r="L24" s="98">
        <v>33.68</v>
      </c>
      <c r="M24" s="99">
        <v>34.549999999999997</v>
      </c>
      <c r="N24" s="96"/>
      <c r="O24" s="96"/>
    </row>
    <row r="25" spans="1:23">
      <c r="A25" s="97" t="s">
        <v>59</v>
      </c>
      <c r="B25" s="98">
        <v>31.08</v>
      </c>
      <c r="C25" s="99">
        <v>23.96</v>
      </c>
      <c r="D25" s="98">
        <v>28.52</v>
      </c>
      <c r="E25" s="99">
        <v>22.88</v>
      </c>
      <c r="F25" s="98">
        <v>33.21</v>
      </c>
      <c r="G25" s="99">
        <v>29.89</v>
      </c>
      <c r="H25" s="98">
        <v>32.42</v>
      </c>
      <c r="I25" s="99">
        <v>30.29</v>
      </c>
      <c r="J25" s="98">
        <v>33.17</v>
      </c>
      <c r="K25" s="99">
        <v>29.59</v>
      </c>
      <c r="L25" s="98">
        <v>26.82</v>
      </c>
      <c r="M25" s="99">
        <v>31.77</v>
      </c>
      <c r="N25" s="96"/>
      <c r="O25" s="96"/>
    </row>
    <row r="26" spans="1:23">
      <c r="A26" s="97" t="s">
        <v>60</v>
      </c>
      <c r="B26" s="98">
        <v>28.61</v>
      </c>
      <c r="C26" s="99">
        <v>17.95</v>
      </c>
      <c r="D26" s="98">
        <v>23.76</v>
      </c>
      <c r="E26" s="99">
        <v>15.84</v>
      </c>
      <c r="F26" s="98">
        <v>30.95</v>
      </c>
      <c r="G26" s="99">
        <v>26.38</v>
      </c>
      <c r="H26" s="98">
        <v>29.38</v>
      </c>
      <c r="I26" s="99">
        <v>24</v>
      </c>
      <c r="J26" s="98">
        <v>26.9</v>
      </c>
      <c r="K26" s="99">
        <v>21.74</v>
      </c>
      <c r="L26" s="98">
        <v>22.39</v>
      </c>
      <c r="M26" s="99">
        <v>22.41</v>
      </c>
      <c r="N26" s="96"/>
      <c r="O26" s="96"/>
    </row>
    <row r="27" spans="1:23">
      <c r="A27" s="97" t="s">
        <v>61</v>
      </c>
      <c r="B27" s="98">
        <v>29.52</v>
      </c>
      <c r="C27" s="99">
        <v>16.57</v>
      </c>
      <c r="D27" s="98">
        <v>25.49</v>
      </c>
      <c r="E27" s="99">
        <v>17.329999999999998</v>
      </c>
      <c r="F27" s="98">
        <v>32</v>
      </c>
      <c r="G27" s="99">
        <v>25.96</v>
      </c>
      <c r="H27" s="98">
        <v>30.46</v>
      </c>
      <c r="I27" s="99">
        <v>22.06</v>
      </c>
      <c r="J27" s="98">
        <v>25.71</v>
      </c>
      <c r="K27" s="99">
        <v>16.87</v>
      </c>
      <c r="L27" s="98">
        <v>23.26</v>
      </c>
      <c r="M27" s="99">
        <v>16.73</v>
      </c>
      <c r="N27" s="96"/>
      <c r="O27" s="96"/>
    </row>
    <row r="28" spans="1:23">
      <c r="A28" s="97" t="s">
        <v>62</v>
      </c>
      <c r="B28" s="98">
        <v>35.619999999999997</v>
      </c>
      <c r="C28" s="99">
        <v>23.46</v>
      </c>
      <c r="D28" s="98">
        <v>33.25</v>
      </c>
      <c r="E28" s="99">
        <v>27.26</v>
      </c>
      <c r="F28" s="98">
        <v>36.28</v>
      </c>
      <c r="G28" s="99">
        <v>30.43</v>
      </c>
      <c r="H28" s="98">
        <v>37.409999999999997</v>
      </c>
      <c r="I28" s="99">
        <v>31.8</v>
      </c>
      <c r="J28" s="98">
        <v>36.64</v>
      </c>
      <c r="K28" s="99">
        <v>30.5</v>
      </c>
      <c r="L28" s="98">
        <v>42.94</v>
      </c>
      <c r="M28" s="99">
        <v>27.47</v>
      </c>
      <c r="N28" s="96"/>
      <c r="O28" s="96"/>
    </row>
    <row r="29" spans="1:23">
      <c r="A29" s="97" t="s">
        <v>63</v>
      </c>
      <c r="B29" s="98">
        <v>37.9</v>
      </c>
      <c r="C29" s="99">
        <v>25.7</v>
      </c>
      <c r="D29" s="98">
        <v>36.72</v>
      </c>
      <c r="E29" s="99">
        <v>29.85</v>
      </c>
      <c r="F29" s="98">
        <v>39.15</v>
      </c>
      <c r="G29" s="99">
        <v>33.26</v>
      </c>
      <c r="H29" s="98">
        <v>40.86</v>
      </c>
      <c r="I29" s="99">
        <v>35.36</v>
      </c>
      <c r="J29" s="98">
        <v>40.43</v>
      </c>
      <c r="K29" s="99">
        <v>35.4</v>
      </c>
      <c r="L29" s="98">
        <v>41.98</v>
      </c>
      <c r="M29" s="99">
        <v>32.96</v>
      </c>
      <c r="N29" s="96"/>
      <c r="O29" s="96"/>
    </row>
    <row r="30" spans="1:23" ht="15" thickBot="1">
      <c r="A30" s="100" t="s">
        <v>64</v>
      </c>
      <c r="B30" s="101">
        <v>37</v>
      </c>
      <c r="C30" s="102">
        <v>27.14</v>
      </c>
      <c r="D30" s="101">
        <v>36.409999999999997</v>
      </c>
      <c r="E30" s="102">
        <v>30.66</v>
      </c>
      <c r="F30" s="101">
        <v>40.6</v>
      </c>
      <c r="G30" s="102">
        <v>34.549999999999997</v>
      </c>
      <c r="H30" s="101">
        <v>40.69</v>
      </c>
      <c r="I30" s="102">
        <v>34.94</v>
      </c>
      <c r="J30" s="101">
        <v>40.049999999999997</v>
      </c>
      <c r="K30" s="102">
        <v>35.17</v>
      </c>
      <c r="L30" s="101">
        <v>34.26</v>
      </c>
      <c r="M30" s="102">
        <v>35.06</v>
      </c>
      <c r="N30" s="96"/>
      <c r="O30" s="96"/>
    </row>
    <row r="31" spans="1:23">
      <c r="B31">
        <f>AVERAGE(B19:C30)</f>
        <v>28.673333333333332</v>
      </c>
      <c r="D31">
        <f t="shared" ref="D31:L31" si="13">AVERAGE(D19:E30)</f>
        <v>31.264166666666668</v>
      </c>
      <c r="F31">
        <f t="shared" si="13"/>
        <v>33.932499999999997</v>
      </c>
      <c r="H31">
        <f t="shared" si="13"/>
        <v>35.460833333333333</v>
      </c>
      <c r="J31">
        <f t="shared" si="13"/>
        <v>34.134999999999998</v>
      </c>
      <c r="L31">
        <f t="shared" si="13"/>
        <v>33.352083333333326</v>
      </c>
    </row>
    <row r="32" spans="1:23">
      <c r="B32" s="96">
        <v>2012</v>
      </c>
      <c r="D32" s="96">
        <v>2014</v>
      </c>
      <c r="F32" s="96">
        <v>2016</v>
      </c>
      <c r="H32" s="96">
        <v>2018</v>
      </c>
      <c r="J32" s="96">
        <v>2020</v>
      </c>
      <c r="L32" s="96">
        <v>2022</v>
      </c>
    </row>
    <row r="35" spans="3:10">
      <c r="C35">
        <v>28.6733333333333</v>
      </c>
      <c r="D35">
        <v>31.264166666666668</v>
      </c>
      <c r="E35">
        <v>33.932499999999997</v>
      </c>
      <c r="F35">
        <v>35.460833333333333</v>
      </c>
      <c r="G35">
        <v>34.134999999999998</v>
      </c>
      <c r="H35">
        <v>33.352083333333326</v>
      </c>
      <c r="I35">
        <v>28.673333333333332</v>
      </c>
      <c r="J35">
        <v>2012</v>
      </c>
    </row>
    <row r="36" spans="3:10">
      <c r="C36">
        <v>2012</v>
      </c>
      <c r="D36">
        <v>2014</v>
      </c>
      <c r="E36">
        <v>2016</v>
      </c>
      <c r="F36">
        <v>2018</v>
      </c>
      <c r="G36">
        <v>2020</v>
      </c>
      <c r="H36">
        <v>2022</v>
      </c>
      <c r="I36">
        <v>31.264166666666668</v>
      </c>
      <c r="J36">
        <v>2014</v>
      </c>
    </row>
    <row r="37" spans="3:10">
      <c r="I37">
        <v>33.932499999999997</v>
      </c>
      <c r="J37">
        <v>2016</v>
      </c>
    </row>
    <row r="38" spans="3:10">
      <c r="I38">
        <v>35.460833333333333</v>
      </c>
      <c r="J38">
        <v>2018</v>
      </c>
    </row>
    <row r="39" spans="3:10">
      <c r="I39">
        <v>34.134999999999998</v>
      </c>
      <c r="J39">
        <v>2020</v>
      </c>
    </row>
    <row r="40" spans="3:10">
      <c r="I40">
        <v>33.352083333333326</v>
      </c>
      <c r="J40">
        <v>2022</v>
      </c>
    </row>
  </sheetData>
  <mergeCells count="6">
    <mergeCell ref="L17:M17"/>
    <mergeCell ref="H17:I17"/>
    <mergeCell ref="F17:G17"/>
    <mergeCell ref="D17:E17"/>
    <mergeCell ref="B17:C17"/>
    <mergeCell ref="J17:K17"/>
  </mergeCells>
  <hyperlinks>
    <hyperlink ref="N19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0"/>
  <sheetViews>
    <sheetView workbookViewId="0">
      <selection activeCell="M1" sqref="M1"/>
    </sheetView>
  </sheetViews>
  <sheetFormatPr defaultRowHeight="14.5"/>
  <cols>
    <col min="1" max="1" width="9.81640625" bestFit="1" customWidth="1"/>
  </cols>
  <sheetData>
    <row r="1" spans="1:13">
      <c r="A1" t="s">
        <v>52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 s="104" t="s">
        <v>82</v>
      </c>
    </row>
    <row r="2" spans="1:13">
      <c r="A2" t="s">
        <v>53</v>
      </c>
      <c r="B2">
        <f t="shared" ref="B2:B13" si="0">AVERAGE(B19:C19)</f>
        <v>35.18</v>
      </c>
      <c r="C2">
        <f>B2</f>
        <v>35.18</v>
      </c>
      <c r="D2">
        <f t="shared" ref="D2:D13" si="1">AVERAGE(D19:E19)</f>
        <v>39.64</v>
      </c>
      <c r="E2">
        <f>D2</f>
        <v>39.64</v>
      </c>
      <c r="F2">
        <f t="shared" ref="F2:F13" si="2">AVERAGE(F19:G19)</f>
        <v>42.375</v>
      </c>
      <c r="G2">
        <f>F2</f>
        <v>42.375</v>
      </c>
      <c r="H2">
        <f t="shared" ref="H2:H13" si="3">AVERAGE(H19:I19)</f>
        <v>45.935000000000002</v>
      </c>
      <c r="I2">
        <f>H2</f>
        <v>45.935000000000002</v>
      </c>
      <c r="J2">
        <f>AVERAGE(J19:K19)</f>
        <v>42.95</v>
      </c>
      <c r="K2">
        <f>J2</f>
        <v>42.95</v>
      </c>
      <c r="L2">
        <f t="shared" ref="L2:L13" si="4">AVERAGE(L19:M19)</f>
        <v>42.325000000000003</v>
      </c>
      <c r="M2">
        <f>AVERAGE(B2:L2)</f>
        <v>41.316818181818178</v>
      </c>
    </row>
    <row r="3" spans="1:13">
      <c r="A3" t="s">
        <v>54</v>
      </c>
      <c r="B3">
        <f t="shared" si="0"/>
        <v>35.534999999999997</v>
      </c>
      <c r="C3">
        <f t="shared" ref="C3:C13" si="5">B3</f>
        <v>35.534999999999997</v>
      </c>
      <c r="D3">
        <f t="shared" si="1"/>
        <v>43.545000000000002</v>
      </c>
      <c r="E3">
        <f t="shared" ref="E3:E13" si="6">D3</f>
        <v>43.545000000000002</v>
      </c>
      <c r="F3">
        <f t="shared" si="2"/>
        <v>43.09</v>
      </c>
      <c r="G3">
        <f t="shared" ref="G3:G13" si="7">F3</f>
        <v>43.09</v>
      </c>
      <c r="H3">
        <f t="shared" si="3"/>
        <v>47.325000000000003</v>
      </c>
      <c r="I3">
        <f t="shared" ref="I3:I13" si="8">H3</f>
        <v>47.325000000000003</v>
      </c>
      <c r="J3">
        <f t="shared" ref="J3:J13" si="9">AVERAGE(J20:K20)</f>
        <v>45.105000000000004</v>
      </c>
      <c r="K3">
        <f t="shared" ref="K3:K13" si="10">J3</f>
        <v>45.105000000000004</v>
      </c>
      <c r="L3">
        <f t="shared" si="4"/>
        <v>43.655000000000001</v>
      </c>
      <c r="M3">
        <f t="shared" ref="M3:M13" si="11">AVERAGE(B3:L3)</f>
        <v>42.986818181818187</v>
      </c>
    </row>
    <row r="4" spans="1:13">
      <c r="A4" t="s">
        <v>55</v>
      </c>
      <c r="B4">
        <f t="shared" si="0"/>
        <v>37.894999999999996</v>
      </c>
      <c r="C4">
        <f t="shared" si="5"/>
        <v>37.894999999999996</v>
      </c>
      <c r="D4">
        <f t="shared" si="1"/>
        <v>46.185000000000002</v>
      </c>
      <c r="E4">
        <f t="shared" si="6"/>
        <v>46.185000000000002</v>
      </c>
      <c r="F4">
        <f t="shared" si="2"/>
        <v>43.59</v>
      </c>
      <c r="G4">
        <f t="shared" si="7"/>
        <v>43.59</v>
      </c>
      <c r="H4">
        <f t="shared" si="3"/>
        <v>49.760000000000005</v>
      </c>
      <c r="I4">
        <f t="shared" si="8"/>
        <v>49.760000000000005</v>
      </c>
      <c r="J4">
        <f t="shared" si="9"/>
        <v>47.414999999999999</v>
      </c>
      <c r="K4">
        <f t="shared" si="10"/>
        <v>47.414999999999999</v>
      </c>
      <c r="L4">
        <f t="shared" si="4"/>
        <v>48.635000000000005</v>
      </c>
      <c r="M4">
        <f t="shared" si="11"/>
        <v>45.302272727272729</v>
      </c>
    </row>
    <row r="5" spans="1:13">
      <c r="A5" t="s">
        <v>56</v>
      </c>
      <c r="B5">
        <f t="shared" si="0"/>
        <v>36.515000000000001</v>
      </c>
      <c r="C5">
        <f t="shared" si="5"/>
        <v>36.515000000000001</v>
      </c>
      <c r="D5">
        <f t="shared" si="1"/>
        <v>44.364999999999995</v>
      </c>
      <c r="E5">
        <f t="shared" si="6"/>
        <v>44.364999999999995</v>
      </c>
      <c r="F5">
        <f t="shared" si="2"/>
        <v>44.094999999999999</v>
      </c>
      <c r="G5">
        <f t="shared" si="7"/>
        <v>44.094999999999999</v>
      </c>
      <c r="H5">
        <f t="shared" si="3"/>
        <v>47.94</v>
      </c>
      <c r="I5">
        <f t="shared" si="8"/>
        <v>47.94</v>
      </c>
      <c r="J5">
        <f t="shared" si="9"/>
        <v>43.814999999999998</v>
      </c>
      <c r="K5">
        <f t="shared" si="10"/>
        <v>43.814999999999998</v>
      </c>
      <c r="L5">
        <f t="shared" si="4"/>
        <v>43.3</v>
      </c>
      <c r="M5">
        <f t="shared" si="11"/>
        <v>43.341818181818184</v>
      </c>
    </row>
    <row r="6" spans="1:13">
      <c r="A6" t="s">
        <v>57</v>
      </c>
      <c r="B6">
        <f t="shared" si="0"/>
        <v>37.700000000000003</v>
      </c>
      <c r="C6">
        <f t="shared" si="5"/>
        <v>37.700000000000003</v>
      </c>
      <c r="D6">
        <f t="shared" si="1"/>
        <v>43.875</v>
      </c>
      <c r="E6">
        <f t="shared" si="6"/>
        <v>43.875</v>
      </c>
      <c r="F6">
        <f t="shared" si="2"/>
        <v>43.734999999999999</v>
      </c>
      <c r="G6">
        <f t="shared" si="7"/>
        <v>43.734999999999999</v>
      </c>
      <c r="H6">
        <f t="shared" si="3"/>
        <v>47.56</v>
      </c>
      <c r="I6">
        <f t="shared" si="8"/>
        <v>47.56</v>
      </c>
      <c r="J6">
        <f t="shared" si="9"/>
        <v>43.41</v>
      </c>
      <c r="K6">
        <f t="shared" si="10"/>
        <v>43.41</v>
      </c>
      <c r="L6">
        <f t="shared" si="4"/>
        <v>44.77</v>
      </c>
      <c r="M6">
        <f t="shared" si="11"/>
        <v>43.393636363636354</v>
      </c>
    </row>
    <row r="7" spans="1:13">
      <c r="A7" t="s">
        <v>58</v>
      </c>
      <c r="B7">
        <f t="shared" si="0"/>
        <v>36.599999999999994</v>
      </c>
      <c r="C7">
        <f t="shared" si="5"/>
        <v>36.599999999999994</v>
      </c>
      <c r="D7">
        <f t="shared" si="1"/>
        <v>37.795000000000002</v>
      </c>
      <c r="E7">
        <f t="shared" si="6"/>
        <v>37.795000000000002</v>
      </c>
      <c r="F7">
        <f t="shared" si="2"/>
        <v>40.295000000000002</v>
      </c>
      <c r="G7">
        <f t="shared" si="7"/>
        <v>40.295000000000002</v>
      </c>
      <c r="H7">
        <f t="shared" si="3"/>
        <v>43.594999999999999</v>
      </c>
      <c r="I7">
        <f t="shared" si="8"/>
        <v>43.594999999999999</v>
      </c>
      <c r="J7">
        <f t="shared" si="9"/>
        <v>39.24</v>
      </c>
      <c r="K7">
        <f t="shared" si="10"/>
        <v>39.24</v>
      </c>
      <c r="L7">
        <f t="shared" si="4"/>
        <v>41.234999999999999</v>
      </c>
      <c r="M7">
        <f t="shared" si="11"/>
        <v>39.662272727272736</v>
      </c>
    </row>
    <row r="8" spans="1:13">
      <c r="A8" t="s">
        <v>59</v>
      </c>
      <c r="B8">
        <f t="shared" si="0"/>
        <v>34.619999999999997</v>
      </c>
      <c r="C8">
        <f t="shared" si="5"/>
        <v>34.619999999999997</v>
      </c>
      <c r="D8">
        <f t="shared" si="1"/>
        <v>33.07</v>
      </c>
      <c r="E8">
        <f t="shared" si="6"/>
        <v>33.07</v>
      </c>
      <c r="F8">
        <f t="shared" si="2"/>
        <v>39.269999999999996</v>
      </c>
      <c r="G8">
        <f t="shared" si="7"/>
        <v>39.269999999999996</v>
      </c>
      <c r="H8">
        <f t="shared" si="3"/>
        <v>39.924999999999997</v>
      </c>
      <c r="I8">
        <f t="shared" si="8"/>
        <v>39.924999999999997</v>
      </c>
      <c r="J8">
        <f t="shared" si="9"/>
        <v>37.78</v>
      </c>
      <c r="K8">
        <f t="shared" si="10"/>
        <v>37.78</v>
      </c>
      <c r="L8">
        <f t="shared" si="4"/>
        <v>36.414999999999999</v>
      </c>
      <c r="M8">
        <f t="shared" si="11"/>
        <v>36.885909090909088</v>
      </c>
    </row>
    <row r="9" spans="1:13">
      <c r="A9" t="s">
        <v>60</v>
      </c>
      <c r="B9">
        <f t="shared" si="0"/>
        <v>30.380000000000003</v>
      </c>
      <c r="C9">
        <f t="shared" si="5"/>
        <v>30.380000000000003</v>
      </c>
      <c r="D9">
        <f t="shared" si="1"/>
        <v>27.17</v>
      </c>
      <c r="E9">
        <f t="shared" si="6"/>
        <v>27.17</v>
      </c>
      <c r="F9">
        <f t="shared" si="2"/>
        <v>36.385000000000005</v>
      </c>
      <c r="G9">
        <f t="shared" si="7"/>
        <v>36.385000000000005</v>
      </c>
      <c r="H9">
        <f t="shared" si="3"/>
        <v>35.260000000000005</v>
      </c>
      <c r="I9">
        <f t="shared" si="8"/>
        <v>35.260000000000005</v>
      </c>
      <c r="J9">
        <f t="shared" si="9"/>
        <v>30.72</v>
      </c>
      <c r="K9">
        <f t="shared" si="10"/>
        <v>30.72</v>
      </c>
      <c r="L9">
        <f t="shared" si="4"/>
        <v>29.520000000000003</v>
      </c>
      <c r="M9">
        <f t="shared" si="11"/>
        <v>31.759090909090911</v>
      </c>
    </row>
    <row r="10" spans="1:13">
      <c r="A10" t="s">
        <v>61</v>
      </c>
      <c r="B10">
        <f t="shared" si="0"/>
        <v>30.145</v>
      </c>
      <c r="C10">
        <f t="shared" si="5"/>
        <v>30.145</v>
      </c>
      <c r="D10">
        <f t="shared" si="1"/>
        <v>28.78</v>
      </c>
      <c r="E10">
        <f t="shared" si="6"/>
        <v>28.78</v>
      </c>
      <c r="F10">
        <f t="shared" si="2"/>
        <v>36.700000000000003</v>
      </c>
      <c r="G10">
        <f t="shared" si="7"/>
        <v>36.700000000000003</v>
      </c>
      <c r="H10">
        <f t="shared" si="3"/>
        <v>34.83</v>
      </c>
      <c r="I10">
        <f t="shared" si="8"/>
        <v>34.83</v>
      </c>
      <c r="J10">
        <f t="shared" si="9"/>
        <v>27.689999999999998</v>
      </c>
      <c r="K10">
        <f t="shared" si="10"/>
        <v>27.689999999999998</v>
      </c>
      <c r="L10">
        <f t="shared" si="4"/>
        <v>27.115000000000002</v>
      </c>
      <c r="M10">
        <f t="shared" si="11"/>
        <v>31.21863636363636</v>
      </c>
    </row>
    <row r="11" spans="1:13">
      <c r="A11" t="s">
        <v>62</v>
      </c>
      <c r="B11">
        <f t="shared" si="0"/>
        <v>36.64</v>
      </c>
      <c r="C11">
        <f t="shared" si="5"/>
        <v>36.64</v>
      </c>
      <c r="D11">
        <f t="shared" si="1"/>
        <v>37.625</v>
      </c>
      <c r="E11">
        <f t="shared" si="6"/>
        <v>37.625</v>
      </c>
      <c r="F11">
        <f t="shared" si="2"/>
        <v>41.075000000000003</v>
      </c>
      <c r="G11">
        <f t="shared" si="7"/>
        <v>41.075000000000003</v>
      </c>
      <c r="H11">
        <f t="shared" si="3"/>
        <v>43.174999999999997</v>
      </c>
      <c r="I11">
        <f t="shared" si="8"/>
        <v>43.174999999999997</v>
      </c>
      <c r="J11">
        <f t="shared" si="9"/>
        <v>39.97</v>
      </c>
      <c r="K11">
        <f t="shared" si="10"/>
        <v>39.97</v>
      </c>
      <c r="L11">
        <f t="shared" si="4"/>
        <v>42.325000000000003</v>
      </c>
      <c r="M11">
        <f t="shared" si="11"/>
        <v>39.935909090909092</v>
      </c>
    </row>
    <row r="12" spans="1:13">
      <c r="A12" t="s">
        <v>63</v>
      </c>
      <c r="B12">
        <f t="shared" si="0"/>
        <v>38.9</v>
      </c>
      <c r="C12">
        <f t="shared" si="5"/>
        <v>38.9</v>
      </c>
      <c r="D12">
        <f t="shared" si="1"/>
        <v>40.655000000000001</v>
      </c>
      <c r="E12">
        <f t="shared" si="6"/>
        <v>40.655000000000001</v>
      </c>
      <c r="F12">
        <f t="shared" si="2"/>
        <v>43.924999999999997</v>
      </c>
      <c r="G12">
        <f t="shared" si="7"/>
        <v>43.924999999999997</v>
      </c>
      <c r="H12">
        <f t="shared" si="3"/>
        <v>46.68</v>
      </c>
      <c r="I12">
        <f t="shared" si="8"/>
        <v>46.68</v>
      </c>
      <c r="J12">
        <f t="shared" si="9"/>
        <v>39.314999999999998</v>
      </c>
      <c r="K12">
        <f t="shared" si="10"/>
        <v>39.314999999999998</v>
      </c>
      <c r="L12">
        <f t="shared" si="4"/>
        <v>44.59</v>
      </c>
      <c r="M12">
        <f t="shared" si="11"/>
        <v>42.140000000000008</v>
      </c>
    </row>
    <row r="13" spans="1:13">
      <c r="A13" t="s">
        <v>64</v>
      </c>
      <c r="B13">
        <f t="shared" si="0"/>
        <v>39.17</v>
      </c>
      <c r="C13">
        <f t="shared" si="5"/>
        <v>39.17</v>
      </c>
      <c r="D13">
        <f t="shared" si="1"/>
        <v>40.905000000000001</v>
      </c>
      <c r="E13">
        <f t="shared" si="6"/>
        <v>40.905000000000001</v>
      </c>
      <c r="F13">
        <f t="shared" si="2"/>
        <v>45.295000000000002</v>
      </c>
      <c r="G13">
        <f t="shared" si="7"/>
        <v>45.295000000000002</v>
      </c>
      <c r="H13">
        <f t="shared" si="3"/>
        <v>46.384999999999998</v>
      </c>
      <c r="I13">
        <f t="shared" si="8"/>
        <v>46.384999999999998</v>
      </c>
      <c r="J13">
        <f t="shared" si="9"/>
        <v>44.010000000000005</v>
      </c>
      <c r="K13">
        <f t="shared" si="10"/>
        <v>44.010000000000005</v>
      </c>
      <c r="L13">
        <f t="shared" si="4"/>
        <v>41.78</v>
      </c>
      <c r="M13">
        <f t="shared" si="11"/>
        <v>43.028181818181814</v>
      </c>
    </row>
    <row r="16" spans="1:13" ht="15" thickBot="1"/>
    <row r="17" spans="1:21">
      <c r="A17" s="95" t="s">
        <v>86</v>
      </c>
      <c r="B17" s="138" t="s">
        <v>87</v>
      </c>
      <c r="C17" s="139"/>
      <c r="D17" s="138" t="s">
        <v>88</v>
      </c>
      <c r="E17" s="139"/>
      <c r="F17" s="138" t="s">
        <v>89</v>
      </c>
      <c r="G17" s="139"/>
      <c r="H17" s="138" t="s">
        <v>90</v>
      </c>
      <c r="I17" s="139"/>
      <c r="J17" s="138" t="s">
        <v>118</v>
      </c>
      <c r="K17" s="139"/>
      <c r="L17" s="138" t="s">
        <v>121</v>
      </c>
      <c r="M17" s="139"/>
      <c r="N17" s="96" t="s">
        <v>95</v>
      </c>
      <c r="O17" s="96"/>
      <c r="P17" s="96"/>
      <c r="Q17" s="96"/>
      <c r="R17" s="96"/>
      <c r="S17" s="96"/>
      <c r="T17" s="96"/>
      <c r="U17" s="96"/>
    </row>
    <row r="18" spans="1:21">
      <c r="A18" s="97"/>
      <c r="B18" s="98" t="s">
        <v>92</v>
      </c>
      <c r="C18" s="99" t="s">
        <v>93</v>
      </c>
      <c r="D18" s="98" t="s">
        <v>92</v>
      </c>
      <c r="E18" s="99" t="s">
        <v>93</v>
      </c>
      <c r="F18" s="98" t="s">
        <v>92</v>
      </c>
      <c r="G18" s="99" t="s">
        <v>93</v>
      </c>
      <c r="H18" s="98" t="s">
        <v>92</v>
      </c>
      <c r="I18" s="99" t="s">
        <v>93</v>
      </c>
      <c r="J18" s="98" t="s">
        <v>92</v>
      </c>
      <c r="K18" s="99" t="s">
        <v>93</v>
      </c>
      <c r="L18" s="98" t="s">
        <v>92</v>
      </c>
      <c r="M18" s="99" t="s">
        <v>93</v>
      </c>
      <c r="N18" s="96" t="s">
        <v>94</v>
      </c>
      <c r="O18" s="96"/>
      <c r="P18" s="96"/>
      <c r="Q18" s="96"/>
      <c r="R18" s="96"/>
      <c r="S18" s="96"/>
      <c r="T18" s="96"/>
      <c r="U18" s="96"/>
    </row>
    <row r="19" spans="1:21">
      <c r="A19" s="97" t="s">
        <v>53</v>
      </c>
      <c r="B19" s="98">
        <v>38.51</v>
      </c>
      <c r="C19" s="99">
        <v>31.85</v>
      </c>
      <c r="D19" s="98">
        <v>41.72</v>
      </c>
      <c r="E19" s="99">
        <v>37.56</v>
      </c>
      <c r="F19" s="98">
        <v>44.43</v>
      </c>
      <c r="G19" s="99">
        <v>40.32</v>
      </c>
      <c r="H19" s="98">
        <v>48.06</v>
      </c>
      <c r="I19" s="99">
        <v>43.81</v>
      </c>
      <c r="J19" s="98">
        <v>45.43</v>
      </c>
      <c r="K19" s="99">
        <v>40.47</v>
      </c>
      <c r="L19" s="98">
        <v>43.15</v>
      </c>
      <c r="M19" s="99">
        <v>41.5</v>
      </c>
      <c r="N19" s="103" t="s">
        <v>117</v>
      </c>
      <c r="O19" s="96"/>
      <c r="P19" s="96"/>
      <c r="Q19" s="96"/>
      <c r="R19" s="96"/>
      <c r="S19" s="96"/>
      <c r="T19" s="96"/>
      <c r="U19" s="96"/>
    </row>
    <row r="20" spans="1:21">
      <c r="A20" s="97" t="s">
        <v>54</v>
      </c>
      <c r="B20" s="98">
        <v>39.020000000000003</v>
      </c>
      <c r="C20" s="99">
        <v>32.049999999999997</v>
      </c>
      <c r="D20" s="98">
        <v>45.69</v>
      </c>
      <c r="E20" s="99">
        <v>41.4</v>
      </c>
      <c r="F20" s="98">
        <v>45.13</v>
      </c>
      <c r="G20" s="99">
        <v>41.05</v>
      </c>
      <c r="H20" s="98">
        <v>48.59</v>
      </c>
      <c r="I20" s="99">
        <v>46.06</v>
      </c>
      <c r="J20" s="98">
        <v>46.78</v>
      </c>
      <c r="K20" s="99">
        <v>43.43</v>
      </c>
      <c r="L20" s="98">
        <v>44.94</v>
      </c>
      <c r="M20" s="99">
        <v>42.37</v>
      </c>
      <c r="N20" s="96" t="s">
        <v>122</v>
      </c>
      <c r="O20" s="96"/>
      <c r="P20" s="96"/>
      <c r="Q20" s="96"/>
      <c r="R20" s="96"/>
      <c r="S20" s="96"/>
      <c r="T20" s="96"/>
      <c r="U20" s="96"/>
    </row>
    <row r="21" spans="1:21">
      <c r="A21" s="97" t="s">
        <v>55</v>
      </c>
      <c r="B21" s="98">
        <v>41.75</v>
      </c>
      <c r="C21" s="99">
        <v>34.04</v>
      </c>
      <c r="D21" s="98">
        <v>48.97</v>
      </c>
      <c r="E21" s="99">
        <v>43.4</v>
      </c>
      <c r="F21" s="98">
        <v>45.79</v>
      </c>
      <c r="G21" s="99">
        <v>41.39</v>
      </c>
      <c r="H21" s="98">
        <v>51.6</v>
      </c>
      <c r="I21" s="99">
        <v>47.92</v>
      </c>
      <c r="J21" s="98">
        <v>49.68</v>
      </c>
      <c r="K21" s="99">
        <v>45.15</v>
      </c>
      <c r="L21" s="98">
        <v>51.99</v>
      </c>
      <c r="M21" s="99">
        <v>45.28</v>
      </c>
      <c r="N21" s="96"/>
      <c r="O21" s="96"/>
      <c r="P21" s="96"/>
      <c r="Q21" s="96"/>
      <c r="R21" s="96"/>
      <c r="S21" s="96"/>
      <c r="T21" s="96"/>
      <c r="U21" s="96"/>
    </row>
    <row r="22" spans="1:21">
      <c r="A22" s="97" t="s">
        <v>56</v>
      </c>
      <c r="B22" s="98">
        <v>40.68</v>
      </c>
      <c r="C22" s="99">
        <v>32.35</v>
      </c>
      <c r="D22" s="98">
        <v>47.93</v>
      </c>
      <c r="E22" s="99">
        <v>40.799999999999997</v>
      </c>
      <c r="F22" s="98">
        <v>46.59</v>
      </c>
      <c r="G22" s="99">
        <v>41.6</v>
      </c>
      <c r="H22" s="98">
        <v>50.62</v>
      </c>
      <c r="I22" s="99">
        <v>45.26</v>
      </c>
      <c r="J22" s="98">
        <v>46.83</v>
      </c>
      <c r="K22" s="99">
        <v>40.799999999999997</v>
      </c>
      <c r="L22" s="98">
        <v>47.52</v>
      </c>
      <c r="M22" s="99">
        <v>39.08</v>
      </c>
      <c r="N22" s="96"/>
      <c r="O22" s="96"/>
      <c r="P22" s="96"/>
      <c r="Q22" s="96"/>
      <c r="R22" s="96"/>
      <c r="S22" s="96"/>
      <c r="T22" s="96"/>
      <c r="U22" s="96"/>
    </row>
    <row r="23" spans="1:21">
      <c r="A23" s="97" t="s">
        <v>57</v>
      </c>
      <c r="B23" s="98">
        <v>41.58</v>
      </c>
      <c r="C23" s="99">
        <v>33.82</v>
      </c>
      <c r="D23" s="98">
        <v>47.02</v>
      </c>
      <c r="E23" s="99">
        <v>40.729999999999997</v>
      </c>
      <c r="F23" s="98">
        <v>46.22</v>
      </c>
      <c r="G23" s="99">
        <v>41.25</v>
      </c>
      <c r="H23" s="98">
        <v>49.86</v>
      </c>
      <c r="I23" s="99">
        <v>45.26</v>
      </c>
      <c r="J23" s="98">
        <v>45.95</v>
      </c>
      <c r="K23" s="99">
        <v>40.869999999999997</v>
      </c>
      <c r="L23" s="98">
        <v>48.02</v>
      </c>
      <c r="M23" s="99">
        <v>41.52</v>
      </c>
      <c r="N23" s="96"/>
      <c r="O23" s="96"/>
      <c r="P23" s="96"/>
      <c r="Q23" s="96"/>
      <c r="R23" s="96"/>
      <c r="S23" s="96"/>
      <c r="T23" s="96"/>
      <c r="U23" s="96"/>
    </row>
    <row r="24" spans="1:21">
      <c r="A24" s="97" t="s">
        <v>58</v>
      </c>
      <c r="B24" s="98">
        <v>40.22</v>
      </c>
      <c r="C24" s="99">
        <v>32.979999999999997</v>
      </c>
      <c r="D24" s="98">
        <v>40.36</v>
      </c>
      <c r="E24" s="99">
        <v>35.229999999999997</v>
      </c>
      <c r="F24" s="98">
        <v>41.95</v>
      </c>
      <c r="G24" s="99">
        <v>38.64</v>
      </c>
      <c r="H24" s="98">
        <v>45.07</v>
      </c>
      <c r="I24" s="99">
        <v>42.12</v>
      </c>
      <c r="J24" s="98">
        <v>40.78</v>
      </c>
      <c r="K24" s="99">
        <v>37.700000000000003</v>
      </c>
      <c r="L24" s="98">
        <v>40.799999999999997</v>
      </c>
      <c r="M24" s="99">
        <v>41.67</v>
      </c>
      <c r="N24" s="96"/>
      <c r="O24" s="96"/>
      <c r="P24" s="96"/>
      <c r="Q24" s="96"/>
      <c r="R24" s="96"/>
      <c r="S24" s="96"/>
      <c r="T24" s="96"/>
      <c r="U24" s="96"/>
    </row>
    <row r="25" spans="1:21">
      <c r="A25" s="97" t="s">
        <v>59</v>
      </c>
      <c r="B25" s="98">
        <v>38.18</v>
      </c>
      <c r="C25" s="99">
        <v>31.06</v>
      </c>
      <c r="D25" s="98">
        <v>35.89</v>
      </c>
      <c r="E25" s="99">
        <v>30.25</v>
      </c>
      <c r="F25" s="98">
        <v>40.93</v>
      </c>
      <c r="G25" s="99">
        <v>37.61</v>
      </c>
      <c r="H25" s="98">
        <v>40.99</v>
      </c>
      <c r="I25" s="99">
        <v>38.86</v>
      </c>
      <c r="J25" s="98">
        <v>39.57</v>
      </c>
      <c r="K25" s="99">
        <v>35.99</v>
      </c>
      <c r="L25" s="98">
        <v>33.94</v>
      </c>
      <c r="M25" s="99">
        <v>38.89</v>
      </c>
      <c r="N25" s="96"/>
      <c r="O25" s="96"/>
      <c r="P25" s="96"/>
      <c r="Q25" s="96"/>
      <c r="R25" s="96"/>
      <c r="S25" s="96"/>
      <c r="T25" s="96"/>
      <c r="U25" s="96"/>
    </row>
    <row r="26" spans="1:21">
      <c r="A26" s="97" t="s">
        <v>60</v>
      </c>
      <c r="B26" s="98">
        <v>35.71</v>
      </c>
      <c r="C26" s="99">
        <v>25.05</v>
      </c>
      <c r="D26" s="98">
        <v>31.13</v>
      </c>
      <c r="E26" s="99">
        <v>23.21</v>
      </c>
      <c r="F26" s="98">
        <v>38.67</v>
      </c>
      <c r="G26" s="99">
        <v>34.1</v>
      </c>
      <c r="H26" s="98">
        <v>37.950000000000003</v>
      </c>
      <c r="I26" s="99">
        <v>32.57</v>
      </c>
      <c r="J26" s="98">
        <v>33.299999999999997</v>
      </c>
      <c r="K26" s="99">
        <v>28.14</v>
      </c>
      <c r="L26" s="98">
        <v>29.51</v>
      </c>
      <c r="M26" s="99">
        <v>29.53</v>
      </c>
      <c r="N26" s="96"/>
      <c r="O26" s="96"/>
      <c r="P26" s="96"/>
      <c r="Q26" s="96"/>
      <c r="R26" s="96"/>
      <c r="S26" s="96"/>
      <c r="T26" s="96"/>
      <c r="U26" s="96"/>
    </row>
    <row r="27" spans="1:21">
      <c r="A27" s="97" t="s">
        <v>61</v>
      </c>
      <c r="B27" s="98">
        <v>36.619999999999997</v>
      </c>
      <c r="C27" s="99">
        <v>23.67</v>
      </c>
      <c r="D27" s="98">
        <v>32.86</v>
      </c>
      <c r="E27" s="99">
        <v>24.7</v>
      </c>
      <c r="F27" s="98">
        <v>39.72</v>
      </c>
      <c r="G27" s="99">
        <v>33.68</v>
      </c>
      <c r="H27" s="98">
        <v>39.03</v>
      </c>
      <c r="I27" s="99">
        <v>30.63</v>
      </c>
      <c r="J27" s="98">
        <v>32.11</v>
      </c>
      <c r="K27" s="99">
        <v>23.27</v>
      </c>
      <c r="L27" s="98">
        <v>30.38</v>
      </c>
      <c r="M27" s="99">
        <v>23.85</v>
      </c>
      <c r="N27" s="96"/>
      <c r="O27" s="96"/>
      <c r="P27" s="96"/>
      <c r="Q27" s="96"/>
      <c r="R27" s="96"/>
      <c r="S27" s="96"/>
      <c r="T27" s="96"/>
      <c r="U27" s="96"/>
    </row>
    <row r="28" spans="1:21">
      <c r="A28" s="97" t="s">
        <v>62</v>
      </c>
      <c r="B28" s="98">
        <v>42.72</v>
      </c>
      <c r="C28" s="99">
        <v>30.56</v>
      </c>
      <c r="D28" s="98">
        <v>40.619999999999997</v>
      </c>
      <c r="E28" s="99">
        <v>34.630000000000003</v>
      </c>
      <c r="F28" s="98">
        <v>44</v>
      </c>
      <c r="G28" s="99">
        <v>38.15</v>
      </c>
      <c r="H28" s="98">
        <v>45.98</v>
      </c>
      <c r="I28" s="99">
        <v>40.369999999999997</v>
      </c>
      <c r="J28" s="98">
        <v>43.04</v>
      </c>
      <c r="K28" s="99">
        <v>36.9</v>
      </c>
      <c r="L28" s="98">
        <v>50.06</v>
      </c>
      <c r="M28" s="99">
        <v>34.590000000000003</v>
      </c>
      <c r="N28" s="96"/>
      <c r="O28" s="96"/>
      <c r="P28" s="96"/>
      <c r="Q28" s="96"/>
      <c r="R28" s="96"/>
      <c r="S28" s="96"/>
      <c r="T28" s="96"/>
      <c r="U28" s="96"/>
    </row>
    <row r="29" spans="1:21">
      <c r="A29" s="97" t="s">
        <v>63</v>
      </c>
      <c r="B29" s="98">
        <v>45</v>
      </c>
      <c r="C29" s="99">
        <v>32.799999999999997</v>
      </c>
      <c r="D29" s="98">
        <v>44.09</v>
      </c>
      <c r="E29" s="99">
        <v>37.22</v>
      </c>
      <c r="F29" s="98">
        <v>46.87</v>
      </c>
      <c r="G29" s="99">
        <v>40.98</v>
      </c>
      <c r="H29" s="98">
        <v>49.43</v>
      </c>
      <c r="I29" s="99">
        <v>43.93</v>
      </c>
      <c r="J29" s="98">
        <v>36.83</v>
      </c>
      <c r="K29" s="99">
        <v>41.8</v>
      </c>
      <c r="L29" s="98">
        <v>49.1</v>
      </c>
      <c r="M29" s="99">
        <v>40.08</v>
      </c>
      <c r="N29" s="96"/>
      <c r="O29" s="96"/>
      <c r="P29" s="96"/>
      <c r="Q29" s="96"/>
      <c r="R29" s="96"/>
      <c r="S29" s="96"/>
      <c r="T29" s="96"/>
      <c r="U29" s="96"/>
    </row>
    <row r="30" spans="1:21" ht="15" thickBot="1">
      <c r="A30" s="100" t="s">
        <v>64</v>
      </c>
      <c r="B30" s="101">
        <v>44.1</v>
      </c>
      <c r="C30" s="102">
        <v>34.24</v>
      </c>
      <c r="D30" s="101">
        <v>43.78</v>
      </c>
      <c r="E30" s="102">
        <v>38.03</v>
      </c>
      <c r="F30" s="101">
        <v>48.32</v>
      </c>
      <c r="G30" s="102">
        <v>42.27</v>
      </c>
      <c r="H30" s="101">
        <v>49.26</v>
      </c>
      <c r="I30" s="102">
        <v>43.51</v>
      </c>
      <c r="J30" s="101">
        <v>46.45</v>
      </c>
      <c r="K30" s="102">
        <v>41.57</v>
      </c>
      <c r="L30" s="101">
        <v>41.38</v>
      </c>
      <c r="M30" s="102">
        <v>42.18</v>
      </c>
      <c r="N30" s="96"/>
      <c r="O30" s="96"/>
      <c r="P30" s="96"/>
      <c r="Q30" s="96"/>
      <c r="R30" s="96"/>
      <c r="S30" s="96"/>
      <c r="T30" s="96"/>
      <c r="U30" s="96"/>
    </row>
  </sheetData>
  <mergeCells count="6">
    <mergeCell ref="L17:M17"/>
    <mergeCell ref="H17:I17"/>
    <mergeCell ref="F17:G17"/>
    <mergeCell ref="D17:E17"/>
    <mergeCell ref="B17:C17"/>
    <mergeCell ref="J17:K17"/>
  </mergeCells>
  <hyperlinks>
    <hyperlink ref="N19" r:id="rId1" xr:uid="{E887BFA6-665D-4CD4-8CDF-14600A2B564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"/>
  <sheetViews>
    <sheetView zoomScale="85" zoomScaleNormal="85" workbookViewId="0">
      <selection activeCell="K7" sqref="K7"/>
    </sheetView>
  </sheetViews>
  <sheetFormatPr defaultRowHeight="14.5"/>
  <cols>
    <col min="1" max="7" width="12.81640625" bestFit="1" customWidth="1"/>
    <col min="8" max="8" width="11.90625" customWidth="1"/>
    <col min="9" max="9" width="11.08984375" customWidth="1"/>
    <col min="10" max="10" width="9.90625" customWidth="1"/>
    <col min="17" max="17" width="11.26953125" bestFit="1" customWidth="1"/>
    <col min="18" max="18" width="9.26953125" bestFit="1" customWidth="1"/>
    <col min="19" max="19" width="10.26953125" bestFit="1" customWidth="1"/>
  </cols>
  <sheetData>
    <row r="1" spans="1:19" ht="29.5">
      <c r="A1" s="94" t="s">
        <v>96</v>
      </c>
    </row>
    <row r="2" spans="1:19">
      <c r="A2" s="106">
        <v>2012</v>
      </c>
      <c r="B2" s="106">
        <v>2013</v>
      </c>
      <c r="C2" s="106">
        <v>2014</v>
      </c>
      <c r="D2" s="106">
        <v>2015</v>
      </c>
      <c r="E2" s="106">
        <v>2016</v>
      </c>
      <c r="F2" s="106">
        <v>2017</v>
      </c>
      <c r="G2" s="106">
        <v>2018</v>
      </c>
      <c r="H2" s="106">
        <v>2019</v>
      </c>
      <c r="I2" s="106">
        <v>2020</v>
      </c>
      <c r="J2" s="106">
        <v>2021</v>
      </c>
      <c r="Q2" s="109" t="s">
        <v>97</v>
      </c>
      <c r="R2" s="109" t="s">
        <v>98</v>
      </c>
      <c r="S2" s="109" t="s">
        <v>99</v>
      </c>
    </row>
    <row r="3" spans="1:19">
      <c r="A3" s="105">
        <f>2450595</f>
        <v>2450595</v>
      </c>
      <c r="B3" s="105">
        <v>2438468</v>
      </c>
      <c r="C3" s="105">
        <v>2572332</v>
      </c>
      <c r="D3" s="105">
        <v>2399000</v>
      </c>
      <c r="E3" s="105">
        <v>2402400</v>
      </c>
      <c r="F3" s="105">
        <v>2539800</v>
      </c>
      <c r="G3" s="105">
        <v>2659500</v>
      </c>
      <c r="H3" s="105">
        <v>2599000</v>
      </c>
      <c r="I3" s="105">
        <v>2604700</v>
      </c>
      <c r="J3" s="105">
        <v>2740700</v>
      </c>
      <c r="L3" s="4" t="s">
        <v>101</v>
      </c>
      <c r="Q3" s="109">
        <v>475.39661379930357</v>
      </c>
      <c r="R3" s="109" t="s">
        <v>100</v>
      </c>
      <c r="S3" s="109">
        <v>2012</v>
      </c>
    </row>
    <row r="4" spans="1:19">
      <c r="A4" s="105">
        <v>61972</v>
      </c>
      <c r="B4" s="105">
        <v>66587</v>
      </c>
      <c r="C4" s="105">
        <v>37000</v>
      </c>
      <c r="D4" s="105">
        <v>45000</v>
      </c>
      <c r="E4" s="105">
        <v>22100</v>
      </c>
      <c r="F4" s="105">
        <v>21400</v>
      </c>
      <c r="G4" s="105">
        <v>20400</v>
      </c>
      <c r="H4" s="105">
        <v>37900</v>
      </c>
      <c r="I4" s="105">
        <v>45300</v>
      </c>
      <c r="J4" s="105">
        <v>56800</v>
      </c>
      <c r="L4" s="4" t="s">
        <v>102</v>
      </c>
      <c r="Q4" s="109">
        <v>391.47853151936761</v>
      </c>
      <c r="R4" s="109" t="s">
        <v>100</v>
      </c>
      <c r="S4" s="109">
        <v>2013</v>
      </c>
    </row>
    <row r="5" spans="1:19">
      <c r="A5" s="105">
        <f t="shared" ref="A5:J5" si="0">A3-A4</f>
        <v>2388623</v>
      </c>
      <c r="B5" s="105">
        <f t="shared" si="0"/>
        <v>2371881</v>
      </c>
      <c r="C5" s="105">
        <f t="shared" si="0"/>
        <v>2535332</v>
      </c>
      <c r="D5" s="105">
        <f t="shared" si="0"/>
        <v>2354000</v>
      </c>
      <c r="E5" s="105">
        <f t="shared" si="0"/>
        <v>2380300</v>
      </c>
      <c r="F5" s="105">
        <f t="shared" si="0"/>
        <v>2518400</v>
      </c>
      <c r="G5" s="105">
        <f>G3-G4</f>
        <v>2639100</v>
      </c>
      <c r="H5" s="105">
        <f t="shared" si="0"/>
        <v>2561100</v>
      </c>
      <c r="I5" s="105">
        <f t="shared" si="0"/>
        <v>2559400</v>
      </c>
      <c r="J5" s="105">
        <f t="shared" si="0"/>
        <v>2683900</v>
      </c>
      <c r="Q5" s="109">
        <v>453.27214378357286</v>
      </c>
      <c r="R5" s="109" t="s">
        <v>100</v>
      </c>
      <c r="S5" s="109">
        <v>2014</v>
      </c>
    </row>
    <row r="6" spans="1:19">
      <c r="Q6" s="109">
        <v>209.97611072383822</v>
      </c>
      <c r="R6" s="109" t="s">
        <v>100</v>
      </c>
      <c r="S6" s="109">
        <v>2015</v>
      </c>
    </row>
    <row r="7" spans="1:19">
      <c r="A7" s="105">
        <v>2295846.7115146802</v>
      </c>
      <c r="B7" s="105">
        <v>2461233.93690034</v>
      </c>
      <c r="C7" s="105">
        <v>2488618.194048</v>
      </c>
      <c r="D7" s="105">
        <v>2288920.1826142101</v>
      </c>
      <c r="E7" s="105">
        <v>2319331.1993203703</v>
      </c>
      <c r="F7" s="105">
        <v>2580522.9711011699</v>
      </c>
      <c r="G7" s="105">
        <v>2593587.7638052301</v>
      </c>
      <c r="L7" s="4" t="s">
        <v>103</v>
      </c>
      <c r="Q7" s="109">
        <v>265.96226904060319</v>
      </c>
      <c r="R7" s="109" t="s">
        <v>100</v>
      </c>
      <c r="S7" s="109">
        <v>2016</v>
      </c>
    </row>
    <row r="8" spans="1:19">
      <c r="A8" s="105">
        <v>2394687.3003505599</v>
      </c>
      <c r="B8" s="105">
        <v>2457215.2607364799</v>
      </c>
      <c r="C8" s="105">
        <v>2555218.4728988102</v>
      </c>
      <c r="D8" s="105">
        <v>2318059.82581753</v>
      </c>
      <c r="E8" s="105">
        <v>2339723.2721952698</v>
      </c>
      <c r="F8" s="105">
        <v>2577275.3448320599</v>
      </c>
      <c r="G8" s="105">
        <v>2579437.4544041599</v>
      </c>
      <c r="L8" s="4" t="s">
        <v>104</v>
      </c>
      <c r="Q8" s="109">
        <v>300.65842601530301</v>
      </c>
      <c r="R8" s="109" t="s">
        <v>100</v>
      </c>
      <c r="S8" s="109">
        <v>2017</v>
      </c>
    </row>
    <row r="9" spans="1:19">
      <c r="Q9" s="109">
        <v>360.9973621766041</v>
      </c>
      <c r="R9" s="109" t="s">
        <v>100</v>
      </c>
      <c r="S9" s="109">
        <v>2018</v>
      </c>
    </row>
    <row r="10" spans="1:19">
      <c r="A10" s="105">
        <f>(A5-costs!B3)*0.001</f>
        <v>475.39661379930357</v>
      </c>
      <c r="B10" s="105">
        <f>(B5-costs!C3)*0.001</f>
        <v>391.47853151937016</v>
      </c>
      <c r="C10" s="105">
        <f>(C5-costs!D3)*0.001</f>
        <v>453.27199999999999</v>
      </c>
      <c r="D10" s="105">
        <f>(D5-costs!E3)*0.001</f>
        <v>209.9759334019283</v>
      </c>
      <c r="E10" s="105">
        <f>(E5-costs!F3)*0.001</f>
        <v>265.96247636929343</v>
      </c>
      <c r="F10" s="105">
        <f>(F5-costs!G3)*0.001</f>
        <v>300.65801549732311</v>
      </c>
      <c r="G10" s="105">
        <f>(G5-costs!H3)*0.001</f>
        <v>360.9973621766041</v>
      </c>
      <c r="H10" s="105">
        <f>(H5-costs!I3)*0.001</f>
        <v>328.17118223266817</v>
      </c>
      <c r="I10" s="105">
        <f>(I5-costs!M3)*0.001</f>
        <v>425.53840097663505</v>
      </c>
      <c r="J10" s="105">
        <f>(J5-costs!K3)*0.001</f>
        <v>541.03509636969125</v>
      </c>
      <c r="L10" s="4" t="s">
        <v>106</v>
      </c>
      <c r="Q10" s="109">
        <v>481.46091414986341</v>
      </c>
      <c r="R10" s="109" t="s">
        <v>105</v>
      </c>
      <c r="S10" s="109">
        <v>2012</v>
      </c>
    </row>
    <row r="11" spans="1:19">
      <c r="A11" s="105">
        <f>(A7-costs!B3)*0.001</f>
        <v>382.6203253139837</v>
      </c>
      <c r="B11" s="105">
        <f>(B7-costs!C3)*0.001</f>
        <v>480.83146841971018</v>
      </c>
      <c r="C11" s="105">
        <f>(C7-costs!D3)*0.001</f>
        <v>406.55819404800002</v>
      </c>
      <c r="D11" s="105">
        <f>(D7-costs!E3)*0.001</f>
        <v>144.89611601613834</v>
      </c>
      <c r="E11" s="105">
        <f>(E7-costs!F3)*0.001</f>
        <v>204.99367568966375</v>
      </c>
      <c r="F11" s="105">
        <f>(F7-costs!G3)*0.001</f>
        <v>362.78098659849309</v>
      </c>
      <c r="G11" s="105">
        <f>(G7-costs!H3)*0.001</f>
        <v>315.48512598183424</v>
      </c>
      <c r="H11" s="105">
        <f>(H7-costs!I3)*0.001</f>
        <v>-2232.928817767332</v>
      </c>
      <c r="I11" s="105">
        <f>(I7-costs!M3)*0.001</f>
        <v>-2133.8615990233652</v>
      </c>
      <c r="J11" s="105">
        <f>(J7-costs!K3)*0.001</f>
        <v>-2142.8649036303091</v>
      </c>
      <c r="Q11" s="109">
        <v>476.81279225584751</v>
      </c>
      <c r="R11" s="109" t="s">
        <v>105</v>
      </c>
      <c r="S11" s="109">
        <v>2013</v>
      </c>
    </row>
    <row r="12" spans="1:19">
      <c r="A12" s="105">
        <f>(A8-costs!B3)*0.001</f>
        <v>481.46091414986341</v>
      </c>
      <c r="B12" s="105">
        <f>(B8-costs!C3)*0.001</f>
        <v>476.81279225585007</v>
      </c>
      <c r="C12" s="105">
        <f>(C8-costs!D3)*0.001</f>
        <v>473.1584728988102</v>
      </c>
      <c r="D12" s="105">
        <f>(D8-costs!E3)*0.001</f>
        <v>174.03575921945833</v>
      </c>
      <c r="E12" s="105">
        <f>(E8-costs!F3)*0.001</f>
        <v>225.38574856456324</v>
      </c>
      <c r="F12" s="105">
        <f>(F8-costs!G3)*0.001</f>
        <v>359.53336032938307</v>
      </c>
      <c r="G12" s="105">
        <f>(G8-costs!H3)*0.001</f>
        <v>301.33481658076403</v>
      </c>
      <c r="H12" s="105">
        <f>(H8-costs!I3)*0.001</f>
        <v>-2232.928817767332</v>
      </c>
      <c r="I12" s="105">
        <f>(I8-costs!M3)*0.001</f>
        <v>-2133.8615990233652</v>
      </c>
      <c r="J12" s="105">
        <f>(J8-costs!K3)*0.001</f>
        <v>-2142.8649036303091</v>
      </c>
      <c r="L12" s="4" t="s">
        <v>107</v>
      </c>
      <c r="Q12" s="109">
        <v>473.15861668238301</v>
      </c>
      <c r="R12" s="109" t="s">
        <v>105</v>
      </c>
      <c r="S12" s="109">
        <v>2014</v>
      </c>
    </row>
    <row r="13" spans="1:19">
      <c r="Q13" s="109">
        <v>174.03593654136824</v>
      </c>
      <c r="R13" s="109" t="s">
        <v>105</v>
      </c>
      <c r="S13" s="109">
        <v>2015</v>
      </c>
    </row>
    <row r="14" spans="1:19">
      <c r="Q14" s="109">
        <v>225.38554123587301</v>
      </c>
      <c r="R14" s="109" t="s">
        <v>105</v>
      </c>
      <c r="S14" s="109">
        <v>2016</v>
      </c>
    </row>
    <row r="15" spans="1:19">
      <c r="Q15" s="109">
        <v>359.53377084736292</v>
      </c>
      <c r="R15" s="109" t="s">
        <v>105</v>
      </c>
      <c r="S15" s="109">
        <v>2017</v>
      </c>
    </row>
    <row r="16" spans="1:19">
      <c r="Q16" s="110">
        <v>301.33481658076403</v>
      </c>
      <c r="R16" s="109" t="s">
        <v>105</v>
      </c>
      <c r="S16" s="109">
        <v>2018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topLeftCell="F1" workbookViewId="0">
      <selection activeCell="P7" sqref="P7"/>
    </sheetView>
  </sheetViews>
  <sheetFormatPr defaultRowHeight="14.5"/>
  <cols>
    <col min="1" max="1" width="31.54296875" customWidth="1"/>
    <col min="2" max="2" width="21.26953125" customWidth="1"/>
    <col min="3" max="3" width="13.453125" customWidth="1"/>
    <col min="4" max="4" width="13.90625" customWidth="1"/>
    <col min="5" max="16" width="13.6328125" bestFit="1" customWidth="1"/>
  </cols>
  <sheetData>
    <row r="1" spans="1:16">
      <c r="B1">
        <v>2021</v>
      </c>
      <c r="C1">
        <v>2020</v>
      </c>
      <c r="D1">
        <v>2019</v>
      </c>
      <c r="E1">
        <v>2018</v>
      </c>
      <c r="F1">
        <f>E1-1</f>
        <v>2017</v>
      </c>
      <c r="G1">
        <f t="shared" ref="G1:O1" si="0">F1-1</f>
        <v>2016</v>
      </c>
      <c r="H1">
        <f t="shared" si="0"/>
        <v>2015</v>
      </c>
      <c r="I1">
        <f t="shared" si="0"/>
        <v>2014</v>
      </c>
      <c r="J1">
        <f t="shared" si="0"/>
        <v>2013</v>
      </c>
      <c r="K1">
        <f t="shared" si="0"/>
        <v>2012</v>
      </c>
      <c r="L1">
        <f t="shared" si="0"/>
        <v>2011</v>
      </c>
      <c r="M1">
        <f t="shared" si="0"/>
        <v>2010</v>
      </c>
      <c r="N1">
        <f t="shared" si="0"/>
        <v>2009</v>
      </c>
      <c r="O1">
        <f t="shared" si="0"/>
        <v>2008</v>
      </c>
      <c r="P1" t="s">
        <v>82</v>
      </c>
    </row>
    <row r="2" spans="1:16">
      <c r="A2" s="106" t="s">
        <v>110</v>
      </c>
      <c r="B2" s="125">
        <v>3227300</v>
      </c>
      <c r="C2" s="125">
        <v>3008100</v>
      </c>
      <c r="D2" s="125">
        <v>3199800</v>
      </c>
      <c r="E2" s="125">
        <f>3032400</f>
        <v>3032400</v>
      </c>
      <c r="F2" s="125">
        <f>2984400</f>
        <v>2984400</v>
      </c>
      <c r="G2" s="125">
        <f>2857300</f>
        <v>2857300</v>
      </c>
      <c r="H2" s="125">
        <f>2712486</f>
        <v>2712486</v>
      </c>
      <c r="I2" s="125">
        <f>2896696</f>
        <v>2896696</v>
      </c>
      <c r="J2" s="125">
        <f>3161175</f>
        <v>3161175</v>
      </c>
      <c r="K2" s="125">
        <f>2988798</f>
        <v>2988798</v>
      </c>
      <c r="L2" s="125">
        <f>2930733</f>
        <v>2930733</v>
      </c>
      <c r="M2" s="125">
        <f>2939370</f>
        <v>2939370</v>
      </c>
      <c r="N2" s="125">
        <f>2752905</f>
        <v>2752905</v>
      </c>
      <c r="O2" s="125">
        <f>2543805</f>
        <v>2543805</v>
      </c>
      <c r="P2" s="126">
        <f>AVERAGE(B2:O2)</f>
        <v>2945376.2857142859</v>
      </c>
    </row>
    <row r="3" spans="1:16">
      <c r="A3" s="106" t="s">
        <v>112</v>
      </c>
      <c r="B3" s="125">
        <v>760700</v>
      </c>
      <c r="C3" s="125">
        <v>1388000</v>
      </c>
      <c r="D3" s="125">
        <v>506000</v>
      </c>
      <c r="E3" s="125">
        <v>287100</v>
      </c>
      <c r="F3" s="125" t="s">
        <v>114</v>
      </c>
      <c r="G3" s="125">
        <v>319000</v>
      </c>
      <c r="H3" s="125">
        <v>212300</v>
      </c>
      <c r="I3" s="125">
        <v>206898</v>
      </c>
      <c r="J3" s="125">
        <v>167800</v>
      </c>
      <c r="K3" s="125">
        <v>328600</v>
      </c>
      <c r="L3" s="125">
        <v>370000</v>
      </c>
      <c r="M3" s="125">
        <v>255000</v>
      </c>
      <c r="N3" s="125">
        <f>393460</f>
        <v>393460</v>
      </c>
      <c r="O3" s="125">
        <v>404600</v>
      </c>
      <c r="P3" s="126">
        <f t="shared" ref="P3:P6" si="1">AVERAGE(B3:O3)</f>
        <v>430727.53846153844</v>
      </c>
    </row>
    <row r="4" spans="1:16" ht="15" customHeight="1">
      <c r="A4" s="106" t="s">
        <v>113</v>
      </c>
      <c r="B4" s="125">
        <v>225900</v>
      </c>
      <c r="C4" s="125">
        <v>470000</v>
      </c>
      <c r="D4" s="125">
        <v>379500</v>
      </c>
      <c r="E4" s="125">
        <v>677500</v>
      </c>
      <c r="F4" s="125">
        <v>293100</v>
      </c>
      <c r="G4" s="125">
        <v>49600</v>
      </c>
      <c r="H4" s="125">
        <v>121702</v>
      </c>
      <c r="I4" s="125">
        <v>227043</v>
      </c>
      <c r="J4" s="125">
        <v>498748</v>
      </c>
      <c r="K4" s="125">
        <v>364388</v>
      </c>
      <c r="L4" s="125">
        <v>308277</v>
      </c>
      <c r="M4" s="125">
        <v>270525</v>
      </c>
      <c r="N4" s="125">
        <v>189882</v>
      </c>
      <c r="O4" s="125">
        <v>142423</v>
      </c>
      <c r="P4" s="126">
        <f t="shared" si="1"/>
        <v>301327.71428571426</v>
      </c>
    </row>
    <row r="5" spans="1:16">
      <c r="A5" s="106" t="s">
        <v>111</v>
      </c>
      <c r="B5" s="125">
        <v>427300</v>
      </c>
      <c r="C5" s="125">
        <v>467900</v>
      </c>
      <c r="D5" s="125">
        <v>208500</v>
      </c>
      <c r="E5" s="125">
        <v>207300</v>
      </c>
      <c r="F5" s="125">
        <v>246800</v>
      </c>
      <c r="G5" s="125">
        <v>298100</v>
      </c>
      <c r="H5" s="125">
        <v>287292</v>
      </c>
      <c r="I5" s="125">
        <v>260138</v>
      </c>
      <c r="J5" s="125">
        <v>289871</v>
      </c>
      <c r="K5" s="125">
        <v>242300</v>
      </c>
      <c r="L5" s="125">
        <v>272359</v>
      </c>
      <c r="M5" s="125">
        <v>243342</v>
      </c>
      <c r="N5" s="125">
        <v>218429</v>
      </c>
      <c r="O5" s="125">
        <v>227968</v>
      </c>
      <c r="P5" s="126">
        <f t="shared" si="1"/>
        <v>278399.92857142858</v>
      </c>
    </row>
    <row r="6" spans="1:16">
      <c r="A6" s="106" t="s">
        <v>109</v>
      </c>
      <c r="B6" s="125">
        <v>248200</v>
      </c>
      <c r="C6" s="125">
        <v>123700</v>
      </c>
      <c r="D6" s="125">
        <v>298300</v>
      </c>
      <c r="E6" s="125">
        <v>159500</v>
      </c>
      <c r="F6" s="125">
        <v>147400</v>
      </c>
      <c r="G6" s="125">
        <v>111700</v>
      </c>
      <c r="H6" s="125">
        <v>76265</v>
      </c>
      <c r="I6" s="125">
        <v>199056</v>
      </c>
      <c r="J6" s="125">
        <v>154173</v>
      </c>
      <c r="K6" s="125">
        <v>143119</v>
      </c>
      <c r="L6" s="125">
        <v>177953</v>
      </c>
      <c r="M6" s="125">
        <v>381468</v>
      </c>
      <c r="N6" s="125">
        <v>317543</v>
      </c>
      <c r="O6" s="125">
        <v>450035</v>
      </c>
      <c r="P6" s="126">
        <f t="shared" si="1"/>
        <v>213458</v>
      </c>
    </row>
    <row r="7" spans="1:16">
      <c r="A7" s="106" t="s">
        <v>151</v>
      </c>
      <c r="B7" s="126">
        <f>B2*60/365</f>
        <v>530515.06849315064</v>
      </c>
      <c r="C7" s="126">
        <f t="shared" ref="C7:P7" si="2">C2*60/365</f>
        <v>494482.19178082194</v>
      </c>
      <c r="D7" s="126">
        <f t="shared" si="2"/>
        <v>525994.52054794517</v>
      </c>
      <c r="E7" s="126">
        <f t="shared" si="2"/>
        <v>498476.71232876711</v>
      </c>
      <c r="F7" s="126">
        <f t="shared" si="2"/>
        <v>490586.30136986304</v>
      </c>
      <c r="G7" s="126">
        <f t="shared" si="2"/>
        <v>469693.15068493149</v>
      </c>
      <c r="H7" s="126">
        <f t="shared" si="2"/>
        <v>445888.10958904109</v>
      </c>
      <c r="I7" s="126">
        <f t="shared" si="2"/>
        <v>476169.20547945204</v>
      </c>
      <c r="J7" s="126">
        <f t="shared" si="2"/>
        <v>519645.20547945204</v>
      </c>
      <c r="K7" s="126">
        <f t="shared" si="2"/>
        <v>491309.26027397258</v>
      </c>
      <c r="L7" s="126">
        <f t="shared" si="2"/>
        <v>481764.32876712328</v>
      </c>
      <c r="M7" s="126">
        <f t="shared" si="2"/>
        <v>483184.10958904109</v>
      </c>
      <c r="N7" s="126">
        <f t="shared" si="2"/>
        <v>452532.32876712328</v>
      </c>
      <c r="O7" s="126">
        <f t="shared" si="2"/>
        <v>418159.72602739726</v>
      </c>
      <c r="P7" s="126">
        <f t="shared" si="2"/>
        <v>484171.44422700594</v>
      </c>
    </row>
    <row r="8" spans="1:16">
      <c r="B8" s="141"/>
    </row>
    <row r="9" spans="1:16">
      <c r="B9" s="142"/>
    </row>
    <row r="10" spans="1:16">
      <c r="A10" s="140" t="s">
        <v>108</v>
      </c>
      <c r="B10" s="142"/>
    </row>
    <row r="11" spans="1:16">
      <c r="A11" s="140" t="s">
        <v>150</v>
      </c>
      <c r="B11" s="14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1" sqref="C11"/>
    </sheetView>
  </sheetViews>
  <sheetFormatPr defaultRowHeight="14.5"/>
  <cols>
    <col min="1" max="1" width="18.81640625" bestFit="1" customWidth="1"/>
    <col min="2" max="2" width="12.81640625" bestFit="1" customWidth="1"/>
  </cols>
  <sheetData>
    <row r="1" spans="1:4">
      <c r="A1" s="106" t="s">
        <v>115</v>
      </c>
      <c r="B1" s="106" t="s">
        <v>116</v>
      </c>
    </row>
    <row r="2" spans="1:4">
      <c r="A2" s="106">
        <v>2012</v>
      </c>
      <c r="B2" s="105">
        <v>329052</v>
      </c>
    </row>
    <row r="3" spans="1:4">
      <c r="A3" s="106">
        <v>2013</v>
      </c>
      <c r="B3" s="105">
        <v>185106</v>
      </c>
      <c r="D3" s="111" t="s">
        <v>123</v>
      </c>
    </row>
    <row r="4" spans="1:4">
      <c r="A4" s="106">
        <v>2014</v>
      </c>
      <c r="B4" s="105">
        <v>703650</v>
      </c>
    </row>
    <row r="5" spans="1:4">
      <c r="A5" s="106">
        <v>2015</v>
      </c>
      <c r="B5" s="105">
        <v>404700</v>
      </c>
    </row>
    <row r="6" spans="1:4">
      <c r="A6" s="106">
        <v>2016</v>
      </c>
      <c r="B6" s="105">
        <v>277200</v>
      </c>
    </row>
    <row r="7" spans="1:4">
      <c r="A7" s="106">
        <v>2017</v>
      </c>
      <c r="B7" s="105">
        <v>338600</v>
      </c>
    </row>
    <row r="8" spans="1:4">
      <c r="A8" s="106">
        <v>2018</v>
      </c>
      <c r="B8" s="105">
        <v>677900</v>
      </c>
    </row>
    <row r="9" spans="1:4">
      <c r="A9" s="106">
        <v>2019</v>
      </c>
      <c r="B9" s="105">
        <v>456100</v>
      </c>
    </row>
    <row r="10" spans="1:4">
      <c r="A10" s="106">
        <v>2020</v>
      </c>
      <c r="B10" s="105">
        <v>675600</v>
      </c>
    </row>
    <row r="11" spans="1:4">
      <c r="A11" s="106">
        <v>2021</v>
      </c>
      <c r="B11" s="105">
        <v>595700</v>
      </c>
    </row>
    <row r="12" spans="1:4">
      <c r="A12" s="106">
        <v>2011</v>
      </c>
      <c r="B12" s="105">
        <v>81682</v>
      </c>
    </row>
    <row r="13" spans="1:4">
      <c r="A13" s="106">
        <v>2010</v>
      </c>
      <c r="B13">
        <v>-127581</v>
      </c>
    </row>
    <row r="14" spans="1:4">
      <c r="A14" s="106">
        <v>2009</v>
      </c>
      <c r="B14">
        <v>-101050</v>
      </c>
    </row>
    <row r="15" spans="1:4">
      <c r="A15" s="106">
        <v>2008</v>
      </c>
      <c r="B15">
        <v>264845</v>
      </c>
    </row>
    <row r="16" spans="1:4">
      <c r="A16" s="106">
        <v>2007</v>
      </c>
      <c r="B16">
        <v>457208</v>
      </c>
    </row>
    <row r="17" spans="1:2">
      <c r="A17" s="106">
        <v>2006</v>
      </c>
      <c r="B17">
        <v>611063</v>
      </c>
    </row>
    <row r="18" spans="1:2">
      <c r="A18" s="106">
        <v>2005</v>
      </c>
      <c r="B18">
        <v>486870</v>
      </c>
    </row>
    <row r="19" spans="1:2">
      <c r="A19" s="106">
        <v>2004</v>
      </c>
      <c r="B19">
        <v>504415</v>
      </c>
    </row>
    <row r="20" spans="1:2">
      <c r="A20" s="106">
        <v>2003</v>
      </c>
      <c r="B20">
        <v>901015</v>
      </c>
    </row>
    <row r="21" spans="1:2">
      <c r="A21" s="106">
        <v>2002</v>
      </c>
      <c r="B21">
        <v>361775</v>
      </c>
    </row>
    <row r="22" spans="1:2">
      <c r="A22" s="106">
        <v>2001</v>
      </c>
      <c r="B22">
        <v>162999</v>
      </c>
    </row>
    <row r="23" spans="1:2">
      <c r="A23" s="10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53F5948BD2D45ACBCEA6219E4F4F8" ma:contentTypeVersion="13" ma:contentTypeDescription="Create a new document." ma:contentTypeScope="" ma:versionID="8efdf0e8a11919765d2ce10fd2819279">
  <xsd:schema xmlns:xsd="http://www.w3.org/2001/XMLSchema" xmlns:xs="http://www.w3.org/2001/XMLSchema" xmlns:p="http://schemas.microsoft.com/office/2006/metadata/properties" xmlns:ns3="e83dd86c-2068-450f-aa64-aa26b51be0b8" xmlns:ns4="e4bc69e9-4388-4b95-a64b-1e7978f920c0" targetNamespace="http://schemas.microsoft.com/office/2006/metadata/properties" ma:root="true" ma:fieldsID="978e25196c755da5f27fb20bb1da7777" ns3:_="" ns4:_="">
    <xsd:import namespace="e83dd86c-2068-450f-aa64-aa26b51be0b8"/>
    <xsd:import namespace="e4bc69e9-4388-4b95-a64b-1e7978f9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dd86c-2068-450f-aa64-aa26b51be0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c69e9-4388-4b95-a64b-1e7978f92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B01B80-A509-4330-B541-B3D363EF6FFF}">
  <ds:schemaRefs>
    <ds:schemaRef ds:uri="http://schemas.microsoft.com/office/2006/documentManagement/types"/>
    <ds:schemaRef ds:uri="http://schemas.microsoft.com/office/infopath/2007/PartnerControls"/>
    <ds:schemaRef ds:uri="e83dd86c-2068-450f-aa64-aa26b51be0b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4bc69e9-4388-4b95-a64b-1e7978f920c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400EEC-B50E-47B2-B5D0-A7C90E0DE5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AFF46F-FF13-4A79-8A76-D825B8573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dd86c-2068-450f-aa64-aa26b51be0b8"/>
    <ds:schemaRef ds:uri="e4bc69e9-4388-4b95-a64b-1e7978f9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load</vt:lpstr>
      <vt:lpstr>BP Net Resources</vt:lpstr>
      <vt:lpstr>available_transmission</vt:lpstr>
      <vt:lpstr>costs</vt:lpstr>
      <vt:lpstr>PF_rates</vt:lpstr>
      <vt:lpstr>IP_rates</vt:lpstr>
      <vt:lpstr>Validation</vt:lpstr>
      <vt:lpstr>expenses</vt:lpstr>
      <vt:lpstr>hist_rev</vt:lpstr>
      <vt:lpstr>res_ba</vt:lpstr>
    </vt:vector>
  </TitlesOfParts>
  <Manager/>
  <Company>UNC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Cuppari, Rosa Isabella</cp:lastModifiedBy>
  <cp:revision/>
  <dcterms:created xsi:type="dcterms:W3CDTF">2018-11-30T04:45:52Z</dcterms:created>
  <dcterms:modified xsi:type="dcterms:W3CDTF">2022-08-02T20:05:10Z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0x0101001C253F5948BD2D45ACBCEA6219E4F4F8</vt:lpwstr>
  </property>
</Properties>
</file>