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C:\AssetManagement\Research\Models\Util\"/>
    </mc:Choice>
  </mc:AlternateContent>
  <bookViews>
    <workbookView xWindow="90" yWindow="90" windowWidth="10035" windowHeight="7710" tabRatio="734" activeTab="1"/>
  </bookViews>
  <sheets>
    <sheet name="cover" sheetId="18" r:id="rId1"/>
    <sheet name="model" sheetId="38" r:id="rId2"/>
    <sheet name="model (2)" sheetId="48" r:id="rId3"/>
    <sheet name="QoQ" sheetId="43" r:id="rId4"/>
    <sheet name="Лист1" sheetId="4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P">cover!$80:$80</definedName>
    <definedName name="AR">cover!$71:$71</definedName>
    <definedName name="bbl">[1]Assumptions!$D$11</definedName>
    <definedName name="BVPS">cover!$33:$33</definedName>
    <definedName name="CAPEX">cover!$109:$109</definedName>
    <definedName name="Cash">cover!$70:$70</definedName>
    <definedName name="CIQWBGuid" hidden="1">"FPI Stock Monitor.xlsx"</definedName>
    <definedName name="Cno" localSheetId="1">[2]cover!$B$8</definedName>
    <definedName name="Cno" localSheetId="2">[2]cover!$B$8</definedName>
    <definedName name="Cno">cover!$B$8</definedName>
    <definedName name="CNoAve">cover!$20:$20</definedName>
    <definedName name="Coal_price_growth" localSheetId="2">#REF!</definedName>
    <definedName name="Coal_price_growth" localSheetId="4">#REF!</definedName>
    <definedName name="Coal_price_growth">#REF!</definedName>
    <definedName name="CoE">[3]DCF!$Q$2</definedName>
    <definedName name="Comment">cover!$K$4</definedName>
    <definedName name="CP" localSheetId="1">#REF!</definedName>
    <definedName name="CP" localSheetId="2">#REF!</definedName>
    <definedName name="CP">cover!$B$5</definedName>
    <definedName name="CPAve">cover!$17:$17</definedName>
    <definedName name="CPI">[4]Assumptions!$13:$13</definedName>
    <definedName name="CurAssets">cover!$69:$69</definedName>
    <definedName name="CurrLiab">cover!$79:$79</definedName>
    <definedName name="DCFc">cover!$B$12</definedName>
    <definedName name="DCFp">cover!$C$12</definedName>
    <definedName name="DDMc">cover!$B$13</definedName>
    <definedName name="DDMp">cover!$C$13</definedName>
    <definedName name="DebtRepayment">cover!$106:$106</definedName>
    <definedName name="Depr">cover!$64:$64</definedName>
    <definedName name="Depreciation">cover!$A$64</definedName>
    <definedName name="DividendsPaid">cover!$105:$105</definedName>
    <definedName name="DPS">cover!$A$34</definedName>
    <definedName name="DPSc">cover!$34:$34</definedName>
    <definedName name="DPSp">cover!$35:$35</definedName>
    <definedName name="EBIT">cover!$56:$56</definedName>
    <definedName name="EBITDA">cover!$65:$65</definedName>
    <definedName name="EPS">cover!$32:$32</definedName>
    <definedName name="EVave">cover!$23:$23</definedName>
    <definedName name="FA">cover!$A$74</definedName>
    <definedName name="FFc">cover!$B$10</definedName>
    <definedName name="FFp">cover!$C$10</definedName>
    <definedName name="FiCF">cover!$104:$104</definedName>
    <definedName name="FixedAssets">cover!$74:$74</definedName>
    <definedName name="Free_market_share" localSheetId="2">#REF!</definedName>
    <definedName name="Free_market_share" localSheetId="4">#REF!</definedName>
    <definedName name="Free_market_share">#REF!</definedName>
    <definedName name="FX">cover!$A$1</definedName>
    <definedName name="Gas_price" localSheetId="2">#REF!</definedName>
    <definedName name="Gas_price" localSheetId="4">#REF!</definedName>
    <definedName name="Gas_price">#REF!</definedName>
    <definedName name="Gas_price_growth" localSheetId="2">#REF!</definedName>
    <definedName name="Gas_price_growth" localSheetId="4">#REF!</definedName>
    <definedName name="Gas_price_growth">#REF!</definedName>
    <definedName name="GrossDebt">cover!$91:$91</definedName>
    <definedName name="GrossProfit">cover!$54:$54</definedName>
    <definedName name="Headcount">cover!$100:$100</definedName>
    <definedName name="Hours_per_year" localSheetId="2">#REF!</definedName>
    <definedName name="Hours_per_year" localSheetId="4">#REF!</definedName>
    <definedName name="Hours_per_year">#REF!</definedName>
    <definedName name="InCF">cover!$103:$103</definedName>
    <definedName name="IncomeTax">cover!$60:$60</definedName>
    <definedName name="Interestexpense">cover!$108:$108</definedName>
    <definedName name="Interestincome">cover!$107:$107</definedName>
    <definedName name="Inventories">cover!$72:$72</definedName>
    <definedName name="Investments">cover!$94:$94</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1" hidden="1">"01/28/2014 10:48:59"</definedName>
    <definedName name="IQ_NAMES_REVISION_DATE_" localSheetId="2" hidden="1">"01/28/2014 10:48:59"</definedName>
    <definedName name="IQ_NAMES_REVISION_DATE_" hidden="1">"01/01/0001 00:00:00"</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TDebt">cover!$84:$84</definedName>
    <definedName name="LTLiab">cover!$83:$83</definedName>
    <definedName name="MCAP" localSheetId="2">cover!#REF!</definedName>
    <definedName name="MCAP">cover!#REF!</definedName>
    <definedName name="MCAPhist">cover!$22:$22</definedName>
    <definedName name="MinorInterestEq">cover!$87:$87</definedName>
    <definedName name="MinorInterestIncome">cover!$61:$61</definedName>
    <definedName name="MinorityEquity">cover!$87:$87</definedName>
    <definedName name="MonthNo" localSheetId="2">#REF!</definedName>
    <definedName name="MonthNo">#REF!</definedName>
    <definedName name="NDebt" localSheetId="2">cover!#REF!</definedName>
    <definedName name="NDebt">cover!#REF!</definedName>
    <definedName name="NetDebt">cover!$92:$92</definedName>
    <definedName name="NetIncome">cover!$62:$62</definedName>
    <definedName name="NetInterest">cover!$58:$58</definedName>
    <definedName name="OpCF">cover!$102:$102</definedName>
    <definedName name="Payables">cover!$A$80</definedName>
    <definedName name="PBT">cover!$59:$59</definedName>
    <definedName name="Pno">cover!$C$8</definedName>
    <definedName name="PNoAve">cover!$21:$21</definedName>
    <definedName name="PP">cover!$C$6</definedName>
    <definedName name="PPAve">cover!$18:$18</definedName>
    <definedName name="PPE">cover!$75:$75</definedName>
    <definedName name="PPI" localSheetId="2">#REF!</definedName>
    <definedName name="PPI" localSheetId="4">#REF!</definedName>
    <definedName name="PPI">#REF!</definedName>
    <definedName name="QNo" localSheetId="2">#REF!</definedName>
    <definedName name="QNo">#REF!</definedName>
    <definedName name="Receivables">cover!$A$71</definedName>
    <definedName name="Revenue">cover!$52:$52</definedName>
    <definedName name="RUB_USD" localSheetId="2">#REF!</definedName>
    <definedName name="RUB_USD" localSheetId="4">#REF!</definedName>
    <definedName name="RUB_USD">#REF!</definedName>
    <definedName name="SGA">cover!$55:$55</definedName>
    <definedName name="SHEQ">cover!$88:$88</definedName>
    <definedName name="StayInBsnCapex">cover!$110:$110</definedName>
    <definedName name="STDebt">cover!$81:$81</definedName>
    <definedName name="TA">cover!$A$78</definedName>
    <definedName name="Tax">[5]DCF!$N$6</definedName>
    <definedName name="Terminal_growth_rate" localSheetId="2">#REF!</definedName>
    <definedName name="Terminal_growth_rate" localSheetId="4">#REF!</definedName>
    <definedName name="Terminal_growth_rate">#REF!</definedName>
    <definedName name="Terminal_ROIC" localSheetId="2">#REF!</definedName>
    <definedName name="Terminal_ROIC" localSheetId="4">#REF!</definedName>
    <definedName name="Terminal_ROIC">#REF!</definedName>
    <definedName name="TickerC" localSheetId="1">[3]Cover!$E$4</definedName>
    <definedName name="TickerC" localSheetId="2">[3]Cover!$E$4</definedName>
    <definedName name="TickerC">cover!$B$4</definedName>
    <definedName name="TickerP">cover!$C$4</definedName>
    <definedName name="TotalAssets">cover!$78:$78</definedName>
    <definedName name="Update">cover!$H$4</definedName>
    <definedName name="USD">cover!$H$3</definedName>
    <definedName name="USDa">[5]Assumptions!$A$3:$IV$3</definedName>
    <definedName name="WC">cover!$96:$96</definedName>
    <definedName name="WC_change">cover!$97:$97</definedName>
    <definedName name="YEAR">cover!$1:$1</definedName>
  </definedNames>
  <calcPr calcId="152511" iterate="1"/>
  <pivotCaches>
    <pivotCache cacheId="128" r:id="rId16"/>
  </pivotCaches>
</workbook>
</file>

<file path=xl/calcChain.xml><?xml version="1.0" encoding="utf-8"?>
<calcChain xmlns="http://schemas.openxmlformats.org/spreadsheetml/2006/main">
  <c r="K40" i="48" l="1"/>
  <c r="K37" i="48"/>
  <c r="K59" i="48"/>
  <c r="K31" i="48"/>
  <c r="K28" i="48"/>
  <c r="K24" i="48"/>
  <c r="K19" i="48"/>
  <c r="K8" i="48"/>
  <c r="K7" i="48"/>
  <c r="K57" i="48"/>
  <c r="K38" i="48"/>
  <c r="K30" i="48"/>
  <c r="K22" i="48"/>
  <c r="K16" i="48"/>
  <c r="O178" i="48"/>
  <c r="N178" i="48"/>
  <c r="M178" i="48"/>
  <c r="L178" i="48"/>
  <c r="K178" i="48"/>
  <c r="J178" i="48"/>
  <c r="I178" i="48"/>
  <c r="H178" i="48"/>
  <c r="G178" i="48"/>
  <c r="H177" i="48"/>
  <c r="B175" i="48"/>
  <c r="C175" i="48" s="1"/>
  <c r="D175" i="48" s="1"/>
  <c r="E175" i="48" s="1"/>
  <c r="F175" i="48" s="1"/>
  <c r="G175" i="48" s="1"/>
  <c r="H175" i="48" s="1"/>
  <c r="I175" i="48" s="1"/>
  <c r="J175" i="48" s="1"/>
  <c r="K175" i="48" s="1"/>
  <c r="L175" i="48" s="1"/>
  <c r="M175" i="48" s="1"/>
  <c r="N175" i="48" s="1"/>
  <c r="O175" i="48" s="1"/>
  <c r="B174" i="48"/>
  <c r="L169" i="48"/>
  <c r="I168" i="48"/>
  <c r="G168" i="48"/>
  <c r="J161" i="48"/>
  <c r="I161" i="48"/>
  <c r="H161" i="48"/>
  <c r="G161" i="48"/>
  <c r="F161" i="48"/>
  <c r="E161" i="48"/>
  <c r="D161" i="48"/>
  <c r="C161" i="48"/>
  <c r="Q160" i="48"/>
  <c r="M160" i="48"/>
  <c r="N160" i="48" s="1"/>
  <c r="O160" i="48" s="1"/>
  <c r="L160" i="48"/>
  <c r="O155" i="48"/>
  <c r="N155" i="48"/>
  <c r="M155" i="48"/>
  <c r="L155" i="48"/>
  <c r="K155" i="48"/>
  <c r="J155" i="48"/>
  <c r="I155" i="48"/>
  <c r="H155" i="48"/>
  <c r="G155" i="48"/>
  <c r="L153" i="48"/>
  <c r="K153" i="48"/>
  <c r="J153" i="48"/>
  <c r="K148" i="48"/>
  <c r="K146" i="48" s="1"/>
  <c r="K144" i="48" s="1"/>
  <c r="J148" i="48"/>
  <c r="G147" i="48"/>
  <c r="O146" i="48"/>
  <c r="N146" i="48"/>
  <c r="M146" i="48"/>
  <c r="L146" i="48"/>
  <c r="J146" i="48"/>
  <c r="I146" i="48"/>
  <c r="G146" i="48"/>
  <c r="Q144" i="48"/>
  <c r="O144" i="48"/>
  <c r="N144" i="48"/>
  <c r="M144" i="48"/>
  <c r="L144" i="48"/>
  <c r="L143" i="48"/>
  <c r="M143" i="48" s="1"/>
  <c r="N143" i="48" s="1"/>
  <c r="O143" i="48" s="1"/>
  <c r="J142" i="48"/>
  <c r="I142" i="48"/>
  <c r="H142" i="48"/>
  <c r="G142" i="48"/>
  <c r="K141" i="48"/>
  <c r="Q139" i="48"/>
  <c r="O136" i="48"/>
  <c r="L136" i="48"/>
  <c r="M136" i="48" s="1"/>
  <c r="N136" i="48" s="1"/>
  <c r="Q135" i="48"/>
  <c r="O134" i="48"/>
  <c r="L134" i="48"/>
  <c r="M134" i="48" s="1"/>
  <c r="N134" i="48" s="1"/>
  <c r="Q133" i="48"/>
  <c r="AA130" i="48"/>
  <c r="Y130" i="48"/>
  <c r="Z131" i="48" s="1"/>
  <c r="AA128" i="48"/>
  <c r="AB127" i="48"/>
  <c r="Z127" i="48"/>
  <c r="Z130" i="48" s="1"/>
  <c r="Q127" i="48"/>
  <c r="K127" i="48"/>
  <c r="F127" i="48"/>
  <c r="M124" i="48"/>
  <c r="N124" i="48" s="1"/>
  <c r="O124" i="48" s="1"/>
  <c r="K124" i="48"/>
  <c r="L124" i="48" s="1"/>
  <c r="J124" i="48"/>
  <c r="I124" i="48"/>
  <c r="J122" i="48"/>
  <c r="I122" i="48"/>
  <c r="H122" i="48"/>
  <c r="Q121" i="48"/>
  <c r="J119" i="48"/>
  <c r="I119" i="48"/>
  <c r="H119" i="48"/>
  <c r="G119" i="48"/>
  <c r="Q118" i="48"/>
  <c r="Q110" i="48"/>
  <c r="Q141" i="48" s="1"/>
  <c r="K110" i="48"/>
  <c r="K109" i="48"/>
  <c r="O108" i="48"/>
  <c r="N108" i="48"/>
  <c r="M108" i="48"/>
  <c r="L108" i="48"/>
  <c r="K108" i="48"/>
  <c r="L106" i="48"/>
  <c r="M106" i="48" s="1"/>
  <c r="M109" i="48" s="1"/>
  <c r="O105" i="48"/>
  <c r="N105" i="48"/>
  <c r="M105" i="48"/>
  <c r="L105" i="48"/>
  <c r="K105" i="48"/>
  <c r="L103" i="48"/>
  <c r="M103" i="48" s="1"/>
  <c r="N103" i="48" s="1"/>
  <c r="O103" i="48" s="1"/>
  <c r="J103" i="48"/>
  <c r="K103" i="48" s="1"/>
  <c r="I103" i="48"/>
  <c r="M102" i="48"/>
  <c r="N102" i="48" s="1"/>
  <c r="O102" i="48" s="1"/>
  <c r="L102" i="48"/>
  <c r="O101" i="48"/>
  <c r="N101" i="48"/>
  <c r="M101" i="48"/>
  <c r="L101" i="48"/>
  <c r="K101" i="48"/>
  <c r="J101" i="48"/>
  <c r="I101" i="48"/>
  <c r="H101" i="48"/>
  <c r="G101" i="48"/>
  <c r="F101" i="48"/>
  <c r="E101" i="48"/>
  <c r="D101" i="48"/>
  <c r="C101" i="48"/>
  <c r="N98" i="48"/>
  <c r="O98" i="48" s="1"/>
  <c r="L98" i="48"/>
  <c r="M98" i="48" s="1"/>
  <c r="N96" i="48"/>
  <c r="O96" i="48" s="1"/>
  <c r="L96" i="48"/>
  <c r="M96" i="48" s="1"/>
  <c r="H93" i="48"/>
  <c r="I92" i="48"/>
  <c r="O91" i="48"/>
  <c r="O90" i="48" s="1"/>
  <c r="N91" i="48"/>
  <c r="N90" i="48" s="1"/>
  <c r="M90" i="48"/>
  <c r="L90" i="48"/>
  <c r="K90" i="48"/>
  <c r="J90" i="48"/>
  <c r="I90" i="48"/>
  <c r="H87" i="48"/>
  <c r="G87" i="48"/>
  <c r="F87" i="48"/>
  <c r="E87" i="48"/>
  <c r="D87" i="48"/>
  <c r="C87" i="48"/>
  <c r="O85" i="48"/>
  <c r="N85" i="48"/>
  <c r="M85" i="48"/>
  <c r="L85" i="48"/>
  <c r="K85" i="48"/>
  <c r="J85" i="48"/>
  <c r="I85" i="48"/>
  <c r="J84" i="48"/>
  <c r="J83" i="48"/>
  <c r="K83" i="48" s="1"/>
  <c r="L83" i="48" s="1"/>
  <c r="M83" i="48" s="1"/>
  <c r="N83" i="48" s="1"/>
  <c r="O83" i="48" s="1"/>
  <c r="H83" i="48"/>
  <c r="G83" i="48"/>
  <c r="F83" i="48"/>
  <c r="E83" i="48"/>
  <c r="D83" i="48"/>
  <c r="C83" i="48"/>
  <c r="J82" i="48"/>
  <c r="L80" i="48"/>
  <c r="M80" i="48" s="1"/>
  <c r="N80" i="48" s="1"/>
  <c r="O80" i="48" s="1"/>
  <c r="J80" i="48"/>
  <c r="H80" i="48"/>
  <c r="G80" i="48"/>
  <c r="F80" i="48"/>
  <c r="E80" i="48"/>
  <c r="D80" i="48"/>
  <c r="C80" i="48"/>
  <c r="J78" i="48"/>
  <c r="I78" i="48"/>
  <c r="H78" i="48"/>
  <c r="G78" i="48"/>
  <c r="F78" i="48"/>
  <c r="E78" i="48"/>
  <c r="D78" i="48"/>
  <c r="C78" i="48"/>
  <c r="J76" i="48"/>
  <c r="K76" i="48" s="1"/>
  <c r="J75" i="48"/>
  <c r="K75" i="48" s="1"/>
  <c r="L75" i="48" s="1"/>
  <c r="M75" i="48" s="1"/>
  <c r="N75" i="48" s="1"/>
  <c r="O75" i="48" s="1"/>
  <c r="H75" i="48"/>
  <c r="G75" i="48"/>
  <c r="F75" i="48"/>
  <c r="E75" i="48"/>
  <c r="D75" i="48"/>
  <c r="C75" i="48"/>
  <c r="J73" i="48"/>
  <c r="K73" i="48" s="1"/>
  <c r="L73" i="48" s="1"/>
  <c r="M73" i="48" s="1"/>
  <c r="N73" i="48" s="1"/>
  <c r="O73" i="48" s="1"/>
  <c r="H72" i="48"/>
  <c r="H71" i="48" s="1"/>
  <c r="H73" i="48" s="1"/>
  <c r="G72" i="48"/>
  <c r="F72" i="48"/>
  <c r="E72" i="48"/>
  <c r="D72" i="48"/>
  <c r="D71" i="48" s="1"/>
  <c r="D73" i="48" s="1"/>
  <c r="C72" i="48"/>
  <c r="G71" i="48"/>
  <c r="G73" i="48" s="1"/>
  <c r="F71" i="48"/>
  <c r="F73" i="48" s="1"/>
  <c r="E71" i="48"/>
  <c r="E73" i="48" s="1"/>
  <c r="C71" i="48"/>
  <c r="C73" i="48" s="1"/>
  <c r="J70" i="48"/>
  <c r="I70" i="48"/>
  <c r="O69" i="48"/>
  <c r="N69" i="48"/>
  <c r="M69" i="48"/>
  <c r="L69" i="48"/>
  <c r="K69" i="48"/>
  <c r="O67" i="48"/>
  <c r="N67" i="48"/>
  <c r="M67" i="48"/>
  <c r="L67" i="48"/>
  <c r="K67" i="48"/>
  <c r="J67" i="48"/>
  <c r="I67" i="48"/>
  <c r="H67" i="48"/>
  <c r="G67" i="48"/>
  <c r="F67" i="48"/>
  <c r="E67" i="48"/>
  <c r="D67" i="48"/>
  <c r="K66" i="48"/>
  <c r="L66" i="48" s="1"/>
  <c r="M66" i="48" s="1"/>
  <c r="N66" i="48" s="1"/>
  <c r="O66" i="48" s="1"/>
  <c r="L65" i="48"/>
  <c r="M65" i="48" s="1"/>
  <c r="K64" i="48"/>
  <c r="I60" i="48"/>
  <c r="H60" i="48"/>
  <c r="G60" i="48"/>
  <c r="F60" i="48"/>
  <c r="J60" i="48" s="1"/>
  <c r="K58" i="48"/>
  <c r="O57" i="48"/>
  <c r="I56" i="48"/>
  <c r="H56" i="48"/>
  <c r="G56" i="48"/>
  <c r="F56" i="48"/>
  <c r="E56" i="48"/>
  <c r="J53" i="48"/>
  <c r="I53" i="48"/>
  <c r="H53" i="48"/>
  <c r="G53" i="48"/>
  <c r="F53" i="48"/>
  <c r="E53" i="48"/>
  <c r="D53" i="48"/>
  <c r="C53" i="48"/>
  <c r="L52" i="48"/>
  <c r="M52" i="48" s="1"/>
  <c r="N52" i="48" s="1"/>
  <c r="O52" i="48" s="1"/>
  <c r="I50" i="48"/>
  <c r="E50" i="48"/>
  <c r="J49" i="48"/>
  <c r="F49" i="48"/>
  <c r="M48" i="48"/>
  <c r="N48" i="48" s="1"/>
  <c r="O48" i="48" s="1"/>
  <c r="L48" i="48"/>
  <c r="M47" i="48"/>
  <c r="N47" i="48" s="1"/>
  <c r="L47" i="48"/>
  <c r="O46" i="48"/>
  <c r="K46" i="48"/>
  <c r="K45" i="48" s="1"/>
  <c r="J46" i="48"/>
  <c r="I46" i="48"/>
  <c r="I45" i="48" s="1"/>
  <c r="I49" i="48" s="1"/>
  <c r="H46" i="48"/>
  <c r="G46" i="48"/>
  <c r="G45" i="48" s="1"/>
  <c r="G49" i="48" s="1"/>
  <c r="F46" i="48"/>
  <c r="E46" i="48"/>
  <c r="E45" i="48" s="1"/>
  <c r="E49" i="48" s="1"/>
  <c r="D46" i="48"/>
  <c r="C46" i="48"/>
  <c r="C45" i="48" s="1"/>
  <c r="C49" i="48" s="1"/>
  <c r="J45" i="48"/>
  <c r="H45" i="48"/>
  <c r="H49" i="48" s="1"/>
  <c r="F45" i="48"/>
  <c r="D45" i="48"/>
  <c r="D49" i="48" s="1"/>
  <c r="N43" i="48"/>
  <c r="J43" i="48"/>
  <c r="J41" i="48" s="1"/>
  <c r="J50" i="48" s="1"/>
  <c r="I43" i="48"/>
  <c r="H43" i="48"/>
  <c r="G43" i="48"/>
  <c r="F43" i="48"/>
  <c r="F41" i="48" s="1"/>
  <c r="F50" i="48" s="1"/>
  <c r="E43" i="48"/>
  <c r="D43" i="48"/>
  <c r="C43" i="48"/>
  <c r="K42" i="48"/>
  <c r="I41" i="48"/>
  <c r="H41" i="48"/>
  <c r="H50" i="48" s="1"/>
  <c r="G41" i="48"/>
  <c r="G50" i="48" s="1"/>
  <c r="E41" i="48"/>
  <c r="D41" i="48"/>
  <c r="D50" i="48" s="1"/>
  <c r="C41" i="48"/>
  <c r="C50" i="48" s="1"/>
  <c r="K50" i="48" s="1"/>
  <c r="L50" i="48" s="1"/>
  <c r="M50" i="48" s="1"/>
  <c r="N50" i="48" s="1"/>
  <c r="O50" i="48" s="1"/>
  <c r="L39" i="48"/>
  <c r="L82" i="48" s="1"/>
  <c r="K39" i="48"/>
  <c r="M38" i="48"/>
  <c r="L38" i="48"/>
  <c r="I38" i="48"/>
  <c r="P37" i="48"/>
  <c r="J37" i="48"/>
  <c r="H37" i="48"/>
  <c r="G37" i="48"/>
  <c r="F37" i="48"/>
  <c r="E37" i="48"/>
  <c r="D37" i="48"/>
  <c r="C37" i="48"/>
  <c r="J36" i="48"/>
  <c r="J32" i="48" s="1"/>
  <c r="I36" i="48"/>
  <c r="H36" i="48"/>
  <c r="G36" i="48"/>
  <c r="F36" i="48"/>
  <c r="F32" i="48" s="1"/>
  <c r="E36" i="48"/>
  <c r="D36" i="48"/>
  <c r="C36" i="48"/>
  <c r="L35" i="48"/>
  <c r="K35" i="48"/>
  <c r="J34" i="48"/>
  <c r="J27" i="48" s="1"/>
  <c r="I32" i="48"/>
  <c r="H32" i="48"/>
  <c r="G32" i="48"/>
  <c r="E32" i="48"/>
  <c r="D32" i="48"/>
  <c r="C32" i="48"/>
  <c r="N31" i="48"/>
  <c r="L30" i="48"/>
  <c r="M30" i="48" s="1"/>
  <c r="J29" i="48"/>
  <c r="I29" i="48"/>
  <c r="H29" i="48"/>
  <c r="H20" i="48" s="1"/>
  <c r="G29" i="48"/>
  <c r="F29" i="48"/>
  <c r="E29" i="48"/>
  <c r="D29" i="48"/>
  <c r="D20" i="48" s="1"/>
  <c r="C29" i="48"/>
  <c r="N28" i="48"/>
  <c r="N36" i="48" s="1"/>
  <c r="N32" i="48" s="1"/>
  <c r="I27" i="48"/>
  <c r="H27" i="48"/>
  <c r="G27" i="48"/>
  <c r="G25" i="48" s="1"/>
  <c r="G20" i="48" s="1"/>
  <c r="F27" i="48"/>
  <c r="E27" i="48"/>
  <c r="D27" i="48"/>
  <c r="C27" i="48"/>
  <c r="C25" i="48" s="1"/>
  <c r="C20" i="48" s="1"/>
  <c r="J26" i="48"/>
  <c r="I25" i="48"/>
  <c r="H25" i="48"/>
  <c r="F25" i="48"/>
  <c r="E25" i="48"/>
  <c r="D25" i="48"/>
  <c r="P24" i="48"/>
  <c r="O24" i="48"/>
  <c r="O43" i="48" s="1"/>
  <c r="N24" i="48"/>
  <c r="M24" i="48"/>
  <c r="M43" i="48" s="1"/>
  <c r="L24" i="48"/>
  <c r="L43" i="48" s="1"/>
  <c r="K43" i="48"/>
  <c r="K23" i="48"/>
  <c r="K21" i="48" s="1"/>
  <c r="L22" i="48"/>
  <c r="M22" i="48" s="1"/>
  <c r="J21" i="48"/>
  <c r="I21" i="48"/>
  <c r="H21" i="48"/>
  <c r="G21" i="48"/>
  <c r="F21" i="48"/>
  <c r="E21" i="48"/>
  <c r="D21" i="48"/>
  <c r="C21" i="48"/>
  <c r="I20" i="48"/>
  <c r="E20" i="48"/>
  <c r="O19" i="48"/>
  <c r="N19" i="48"/>
  <c r="N46" i="48" s="1"/>
  <c r="N45" i="48" s="1"/>
  <c r="M19" i="48"/>
  <c r="P19" i="48" s="1"/>
  <c r="L19" i="48"/>
  <c r="L46" i="48" s="1"/>
  <c r="L45" i="48" s="1"/>
  <c r="K17" i="48"/>
  <c r="L17" i="48" s="1"/>
  <c r="M17" i="48" s="1"/>
  <c r="N17" i="48" s="1"/>
  <c r="O17" i="48" s="1"/>
  <c r="L16" i="48"/>
  <c r="L64" i="48" s="1"/>
  <c r="L63" i="48" s="1"/>
  <c r="J15" i="48"/>
  <c r="I15" i="48"/>
  <c r="H15" i="48"/>
  <c r="G15" i="48"/>
  <c r="F15" i="48"/>
  <c r="E15" i="48"/>
  <c r="D15" i="48"/>
  <c r="C15" i="48"/>
  <c r="K14" i="48"/>
  <c r="L14" i="48" s="1"/>
  <c r="M14" i="48" s="1"/>
  <c r="N14" i="48" s="1"/>
  <c r="O14" i="48" s="1"/>
  <c r="H13" i="48"/>
  <c r="F13" i="48"/>
  <c r="F11" i="48" s="1"/>
  <c r="F12" i="48" s="1"/>
  <c r="E13" i="48"/>
  <c r="D13" i="48"/>
  <c r="H11" i="48"/>
  <c r="E11" i="48"/>
  <c r="D11" i="48"/>
  <c r="E12" i="48" s="1"/>
  <c r="I9" i="48"/>
  <c r="E9" i="48"/>
  <c r="O8" i="48"/>
  <c r="N8" i="48"/>
  <c r="M8" i="48"/>
  <c r="L8" i="48"/>
  <c r="J8" i="48"/>
  <c r="I8" i="48"/>
  <c r="H8" i="48"/>
  <c r="G8" i="48"/>
  <c r="F8" i="48"/>
  <c r="E8" i="48"/>
  <c r="D8" i="48"/>
  <c r="C8" i="48"/>
  <c r="O7" i="48"/>
  <c r="N7" i="48"/>
  <c r="M7" i="48"/>
  <c r="L7" i="48"/>
  <c r="K63" i="48"/>
  <c r="J7" i="48"/>
  <c r="J9" i="48" s="1"/>
  <c r="I7" i="48"/>
  <c r="H7" i="48"/>
  <c r="G7" i="48"/>
  <c r="F7" i="48"/>
  <c r="F9" i="48" s="1"/>
  <c r="E7" i="48"/>
  <c r="D7" i="48"/>
  <c r="C7" i="48"/>
  <c r="L6" i="48"/>
  <c r="M6" i="48" s="1"/>
  <c r="N6" i="48" s="1"/>
  <c r="O6" i="48" s="1"/>
  <c r="K6" i="48"/>
  <c r="J6" i="48"/>
  <c r="H6" i="48"/>
  <c r="G6" i="48"/>
  <c r="G170" i="48" s="1"/>
  <c r="E6" i="48"/>
  <c r="E4" i="48" s="1"/>
  <c r="E165" i="48" s="1"/>
  <c r="D6" i="48"/>
  <c r="C6" i="48"/>
  <c r="C4" i="48" s="1"/>
  <c r="C165" i="48" s="1"/>
  <c r="G5" i="48"/>
  <c r="H5" i="48" s="1"/>
  <c r="D4" i="48"/>
  <c r="D165" i="48" s="1"/>
  <c r="F2" i="48"/>
  <c r="L1" i="48"/>
  <c r="M1" i="48" s="1"/>
  <c r="N1" i="48" s="1"/>
  <c r="O1" i="48" s="1"/>
  <c r="K1" i="48"/>
  <c r="N30" i="48" l="1"/>
  <c r="N23" i="48" s="1"/>
  <c r="M27" i="48"/>
  <c r="M23" i="48"/>
  <c r="L23" i="48"/>
  <c r="L21" i="48" s="1"/>
  <c r="K26" i="48"/>
  <c r="K18" i="48" s="1"/>
  <c r="H4" i="48"/>
  <c r="H165" i="48" s="1"/>
  <c r="I5" i="48"/>
  <c r="F10" i="48"/>
  <c r="F20" i="48"/>
  <c r="F51" i="48" s="1"/>
  <c r="F52" i="48" s="1"/>
  <c r="J59" i="48"/>
  <c r="J56" i="48" s="1"/>
  <c r="K60" i="48"/>
  <c r="M21" i="48"/>
  <c r="N22" i="48"/>
  <c r="O47" i="48"/>
  <c r="K51" i="48"/>
  <c r="J10" i="48"/>
  <c r="O30" i="48"/>
  <c r="J13" i="48"/>
  <c r="J11" i="48" s="1"/>
  <c r="J25" i="48"/>
  <c r="J20" i="48" s="1"/>
  <c r="J51" i="48" s="1"/>
  <c r="J52" i="48" s="1"/>
  <c r="K49" i="48"/>
  <c r="L49" i="48" s="1"/>
  <c r="M49" i="48" s="1"/>
  <c r="N49" i="48" s="1"/>
  <c r="O49" i="48" s="1"/>
  <c r="K44" i="48"/>
  <c r="K55" i="48" s="1"/>
  <c r="C160" i="48"/>
  <c r="C131" i="48"/>
  <c r="C130" i="48"/>
  <c r="C141" i="48"/>
  <c r="C132" i="48"/>
  <c r="C133" i="48"/>
  <c r="C139" i="48"/>
  <c r="C121" i="48"/>
  <c r="C111" i="48"/>
  <c r="C104" i="48"/>
  <c r="C90" i="48"/>
  <c r="C92" i="48" s="1"/>
  <c r="C94" i="48" s="1"/>
  <c r="C77" i="48"/>
  <c r="C144" i="48"/>
  <c r="C99" i="48"/>
  <c r="C97" i="48"/>
  <c r="C81" i="48"/>
  <c r="C107" i="48"/>
  <c r="C85" i="48"/>
  <c r="C88" i="48" s="1"/>
  <c r="C84" i="48"/>
  <c r="C70" i="48"/>
  <c r="C76" i="48" s="1"/>
  <c r="C118" i="48"/>
  <c r="C117" i="48" s="1"/>
  <c r="C95" i="48"/>
  <c r="C68" i="48"/>
  <c r="J127" i="48"/>
  <c r="J125" i="48" s="1"/>
  <c r="K126" i="48"/>
  <c r="J128" i="48"/>
  <c r="K128" i="48" s="1"/>
  <c r="L128" i="48" s="1"/>
  <c r="M128" i="48" s="1"/>
  <c r="N128" i="48" s="1"/>
  <c r="O128" i="48" s="1"/>
  <c r="I156" i="48"/>
  <c r="I162" i="48"/>
  <c r="I179" i="48"/>
  <c r="F142" i="48"/>
  <c r="F126" i="48"/>
  <c r="F122" i="48"/>
  <c r="F128" i="48"/>
  <c r="F119" i="48"/>
  <c r="E162" i="48"/>
  <c r="I80" i="48"/>
  <c r="I73" i="48"/>
  <c r="G4" i="48"/>
  <c r="G165" i="48" s="1"/>
  <c r="C168" i="48"/>
  <c r="D144" i="48"/>
  <c r="D141" i="48"/>
  <c r="D139" i="48"/>
  <c r="D135" i="48"/>
  <c r="D133" i="48"/>
  <c r="D121" i="48"/>
  <c r="D118" i="48"/>
  <c r="D160" i="48"/>
  <c r="D131" i="48"/>
  <c r="D130" i="48"/>
  <c r="D104" i="48"/>
  <c r="D99" i="48"/>
  <c r="D100" i="48" s="1"/>
  <c r="D102" i="48" s="1"/>
  <c r="D97" i="48"/>
  <c r="D107" i="48"/>
  <c r="D108" i="48" s="1"/>
  <c r="D81" i="48"/>
  <c r="D85" i="48"/>
  <c r="D88" i="48" s="1"/>
  <c r="D89" i="48" s="1"/>
  <c r="D84" i="48"/>
  <c r="D70" i="48"/>
  <c r="D76" i="48" s="1"/>
  <c r="D132" i="48"/>
  <c r="D95" i="48"/>
  <c r="D68" i="48"/>
  <c r="D111" i="48"/>
  <c r="D90" i="48"/>
  <c r="D92" i="48" s="1"/>
  <c r="D94" i="48" s="1"/>
  <c r="D77" i="48"/>
  <c r="H148" i="48"/>
  <c r="H146" i="48" s="1"/>
  <c r="H144" i="48"/>
  <c r="H141" i="48"/>
  <c r="H139" i="48"/>
  <c r="H168" i="48"/>
  <c r="H133" i="48"/>
  <c r="H121" i="48"/>
  <c r="H118" i="48"/>
  <c r="H135" i="48"/>
  <c r="H104" i="48"/>
  <c r="H99" i="48"/>
  <c r="H97" i="48"/>
  <c r="H160" i="48"/>
  <c r="H132" i="48"/>
  <c r="H131" i="48"/>
  <c r="H130" i="48"/>
  <c r="H107" i="48"/>
  <c r="H81" i="48"/>
  <c r="H111" i="48"/>
  <c r="H85" i="48"/>
  <c r="H88" i="48" s="1"/>
  <c r="H84" i="48"/>
  <c r="H70" i="48"/>
  <c r="H76" i="48" s="1"/>
  <c r="H63" i="48"/>
  <c r="H95" i="48"/>
  <c r="H68" i="48"/>
  <c r="H90" i="48"/>
  <c r="H92" i="48" s="1"/>
  <c r="H94" i="48" s="1"/>
  <c r="H77" i="48"/>
  <c r="C142" i="48"/>
  <c r="C128" i="48"/>
  <c r="C122" i="48"/>
  <c r="C119" i="48"/>
  <c r="C126" i="48"/>
  <c r="C125" i="48" s="1"/>
  <c r="G128" i="48"/>
  <c r="G127" i="48"/>
  <c r="G122" i="48"/>
  <c r="G126" i="48"/>
  <c r="G125" i="48" s="1"/>
  <c r="L127" i="48"/>
  <c r="M127" i="48" s="1"/>
  <c r="N127" i="48" s="1"/>
  <c r="O127" i="48" s="1"/>
  <c r="D12" i="48"/>
  <c r="C13" i="48"/>
  <c r="C11" i="48" s="1"/>
  <c r="G13" i="48"/>
  <c r="G11" i="48" s="1"/>
  <c r="G12" i="48" s="1"/>
  <c r="M16" i="48"/>
  <c r="K36" i="48"/>
  <c r="K32" i="48" s="1"/>
  <c r="O28" i="48"/>
  <c r="O36" i="48" s="1"/>
  <c r="O32" i="48" s="1"/>
  <c r="K29" i="48"/>
  <c r="O31" i="48"/>
  <c r="K34" i="48"/>
  <c r="L79" i="48"/>
  <c r="K79" i="48"/>
  <c r="K82" i="48"/>
  <c r="L42" i="48"/>
  <c r="E51" i="48"/>
  <c r="I51" i="48"/>
  <c r="I52" i="48" s="1"/>
  <c r="L58" i="48"/>
  <c r="C63" i="48"/>
  <c r="L76" i="48"/>
  <c r="K70" i="48"/>
  <c r="F168" i="48"/>
  <c r="G160" i="48"/>
  <c r="G144" i="48"/>
  <c r="G145" i="48" s="1"/>
  <c r="G131" i="48"/>
  <c r="G130" i="48"/>
  <c r="G132" i="48"/>
  <c r="G135" i="48"/>
  <c r="G121" i="48"/>
  <c r="G123" i="48" s="1"/>
  <c r="G141" i="48"/>
  <c r="G139" i="48"/>
  <c r="G111" i="48"/>
  <c r="G133" i="48"/>
  <c r="G107" i="48"/>
  <c r="G90" i="48"/>
  <c r="G92" i="48" s="1"/>
  <c r="G94" i="48" s="1"/>
  <c r="G77" i="48"/>
  <c r="G81" i="48"/>
  <c r="G118" i="48"/>
  <c r="G104" i="48"/>
  <c r="G85" i="48"/>
  <c r="G88" i="48" s="1"/>
  <c r="G84" i="48"/>
  <c r="G70" i="48"/>
  <c r="G76" i="48" s="1"/>
  <c r="G99" i="48"/>
  <c r="G97" i="48"/>
  <c r="G98" i="48" s="1"/>
  <c r="G95" i="48"/>
  <c r="G96" i="48" s="1"/>
  <c r="G68" i="48"/>
  <c r="E144" i="48"/>
  <c r="E141" i="48"/>
  <c r="E139" i="48"/>
  <c r="E160" i="48"/>
  <c r="E135" i="48"/>
  <c r="D168" i="48"/>
  <c r="E132" i="48"/>
  <c r="E131" i="48"/>
  <c r="E130" i="48"/>
  <c r="E133" i="48"/>
  <c r="E118" i="48"/>
  <c r="E111" i="48"/>
  <c r="E121" i="48"/>
  <c r="E99" i="48"/>
  <c r="E100" i="48" s="1"/>
  <c r="E102" i="48" s="1"/>
  <c r="E97" i="48"/>
  <c r="E98" i="48" s="1"/>
  <c r="E85" i="48"/>
  <c r="E88" i="48" s="1"/>
  <c r="E89" i="48" s="1"/>
  <c r="E84" i="48"/>
  <c r="E70" i="48"/>
  <c r="E76" i="48" s="1"/>
  <c r="E107" i="48"/>
  <c r="E108" i="48" s="1"/>
  <c r="E95" i="48"/>
  <c r="E96" i="48" s="1"/>
  <c r="E68" i="48"/>
  <c r="E69" i="48" s="1"/>
  <c r="E90" i="48"/>
  <c r="E92" i="48" s="1"/>
  <c r="E94" i="48" s="1"/>
  <c r="E77" i="48"/>
  <c r="E104" i="48"/>
  <c r="E105" i="48" s="1"/>
  <c r="E81" i="48"/>
  <c r="I144" i="48"/>
  <c r="I145" i="48" s="1"/>
  <c r="I141" i="48"/>
  <c r="I139" i="48"/>
  <c r="I160" i="48"/>
  <c r="I135" i="48"/>
  <c r="I132" i="48"/>
  <c r="I131" i="48"/>
  <c r="I130" i="48"/>
  <c r="I111" i="48"/>
  <c r="I133" i="48"/>
  <c r="I118" i="48"/>
  <c r="I63" i="48"/>
  <c r="I104" i="48"/>
  <c r="I105" i="48" s="1"/>
  <c r="I95" i="48"/>
  <c r="I96" i="48" s="1"/>
  <c r="I68" i="48"/>
  <c r="I69" i="48" s="1"/>
  <c r="I99" i="48"/>
  <c r="I100" i="48" s="1"/>
  <c r="I102" i="48" s="1"/>
  <c r="I97" i="48"/>
  <c r="I77" i="48"/>
  <c r="I121" i="48"/>
  <c r="I123" i="48" s="1"/>
  <c r="I107" i="48"/>
  <c r="I108" i="48" s="1"/>
  <c r="I81" i="48"/>
  <c r="D126" i="48"/>
  <c r="D142" i="48"/>
  <c r="D119" i="48"/>
  <c r="D122" i="48"/>
  <c r="D128" i="48"/>
  <c r="H126" i="48"/>
  <c r="H128" i="48"/>
  <c r="H127" i="48"/>
  <c r="C9" i="48"/>
  <c r="G9" i="48"/>
  <c r="L28" i="48"/>
  <c r="L36" i="48" s="1"/>
  <c r="L32" i="48" s="1"/>
  <c r="L31" i="48"/>
  <c r="L29" i="48" s="1"/>
  <c r="M46" i="48"/>
  <c r="M45" i="48" s="1"/>
  <c r="M44" i="48" s="1"/>
  <c r="C56" i="48"/>
  <c r="D63" i="48"/>
  <c r="N65" i="48"/>
  <c r="M64" i="48"/>
  <c r="M63" i="48" s="1"/>
  <c r="K84" i="48"/>
  <c r="L84" i="48" s="1"/>
  <c r="I37" i="48"/>
  <c r="G63" i="48"/>
  <c r="F6" i="48"/>
  <c r="F4" i="48" s="1"/>
  <c r="F165" i="48" s="1"/>
  <c r="F160" i="48"/>
  <c r="F135" i="48"/>
  <c r="F144" i="48"/>
  <c r="F141" i="48"/>
  <c r="E168" i="48"/>
  <c r="F139" i="48"/>
  <c r="F133" i="48"/>
  <c r="F121" i="48"/>
  <c r="F123" i="48" s="1"/>
  <c r="F118" i="48"/>
  <c r="F107" i="48"/>
  <c r="F132" i="48"/>
  <c r="F104" i="48"/>
  <c r="F105" i="48" s="1"/>
  <c r="F99" i="48"/>
  <c r="F97" i="48"/>
  <c r="F95" i="48"/>
  <c r="F96" i="48" s="1"/>
  <c r="F68" i="48"/>
  <c r="F69" i="48" s="1"/>
  <c r="F90" i="48"/>
  <c r="F92" i="48" s="1"/>
  <c r="F94" i="48" s="1"/>
  <c r="F77" i="48"/>
  <c r="F111" i="48"/>
  <c r="F81" i="48"/>
  <c r="F131" i="48"/>
  <c r="F130" i="48"/>
  <c r="F85" i="48"/>
  <c r="F88" i="48" s="1"/>
  <c r="F89" i="48" s="1"/>
  <c r="F84" i="48"/>
  <c r="F70" i="48"/>
  <c r="F76" i="48" s="1"/>
  <c r="F63" i="48"/>
  <c r="J160" i="48"/>
  <c r="R160" i="48" s="1"/>
  <c r="J135" i="48"/>
  <c r="J168" i="48"/>
  <c r="J144" i="48"/>
  <c r="J145" i="48" s="1"/>
  <c r="J141" i="48"/>
  <c r="J139" i="48"/>
  <c r="J133" i="48"/>
  <c r="J121" i="48"/>
  <c r="J118" i="48"/>
  <c r="J132" i="48"/>
  <c r="J107" i="48"/>
  <c r="J131" i="48"/>
  <c r="J130" i="48"/>
  <c r="K130" i="48" s="1"/>
  <c r="L130" i="48" s="1"/>
  <c r="M130" i="48" s="1"/>
  <c r="N130" i="48" s="1"/>
  <c r="O130" i="48" s="1"/>
  <c r="J104" i="48"/>
  <c r="J99" i="48"/>
  <c r="J97" i="48"/>
  <c r="J111" i="48"/>
  <c r="J95" i="48"/>
  <c r="J96" i="48" s="1"/>
  <c r="J68" i="48"/>
  <c r="J77" i="48"/>
  <c r="J81" i="48"/>
  <c r="K81" i="48" s="1"/>
  <c r="L81" i="48" s="1"/>
  <c r="J63" i="48"/>
  <c r="E142" i="48"/>
  <c r="E122" i="48"/>
  <c r="E119" i="48"/>
  <c r="E128" i="48"/>
  <c r="E127" i="48"/>
  <c r="E126" i="48"/>
  <c r="C183" i="48"/>
  <c r="C184" i="48" s="1"/>
  <c r="I128" i="48"/>
  <c r="I127" i="48"/>
  <c r="D9" i="48"/>
  <c r="E10" i="48" s="1"/>
  <c r="H9" i="48"/>
  <c r="I13" i="48"/>
  <c r="I11" i="48" s="1"/>
  <c r="I12" i="48" s="1"/>
  <c r="M28" i="48"/>
  <c r="M31" i="48"/>
  <c r="P31" i="48" s="1"/>
  <c r="N38" i="48"/>
  <c r="M39" i="48"/>
  <c r="M79" i="48" s="1"/>
  <c r="D56" i="48"/>
  <c r="E63" i="48"/>
  <c r="N106" i="48"/>
  <c r="L109" i="48"/>
  <c r="AB128" i="48"/>
  <c r="AB133" i="48"/>
  <c r="J129" i="48"/>
  <c r="K122" i="48"/>
  <c r="J156" i="48"/>
  <c r="F162" i="48"/>
  <c r="J162" i="48"/>
  <c r="R141" i="48"/>
  <c r="AA131" i="48"/>
  <c r="H156" i="48"/>
  <c r="D162" i="48"/>
  <c r="I170" i="48"/>
  <c r="I167" i="48"/>
  <c r="R135" i="48"/>
  <c r="K142" i="48"/>
  <c r="R144" i="48"/>
  <c r="Q155" i="48" s="1"/>
  <c r="Q164" i="48" s="1"/>
  <c r="G156" i="48"/>
  <c r="G167" i="48"/>
  <c r="G179" i="48"/>
  <c r="R133" i="48"/>
  <c r="G162" i="48"/>
  <c r="J179" i="48"/>
  <c r="K24" i="38"/>
  <c r="K19" i="38"/>
  <c r="S17" i="18"/>
  <c r="S20" i="18"/>
  <c r="S22" i="18"/>
  <c r="S25" i="18"/>
  <c r="S31" i="18"/>
  <c r="S51" i="18"/>
  <c r="S68" i="18"/>
  <c r="S97" i="18"/>
  <c r="S123" i="18" s="1"/>
  <c r="S109" i="18"/>
  <c r="S110" i="18"/>
  <c r="S121" i="18" s="1"/>
  <c r="S116" i="18"/>
  <c r="S124" i="18"/>
  <c r="S127" i="18"/>
  <c r="S132" i="18"/>
  <c r="O178" i="38"/>
  <c r="O175" i="38"/>
  <c r="L160" i="38"/>
  <c r="O165" i="38"/>
  <c r="O146" i="38"/>
  <c r="O144" i="38" s="1"/>
  <c r="O155" i="38"/>
  <c r="O134" i="38"/>
  <c r="O136" i="38"/>
  <c r="O124" i="38"/>
  <c r="O143" i="38"/>
  <c r="O108" i="38"/>
  <c r="O109" i="38"/>
  <c r="O105" i="38"/>
  <c r="O106" i="38"/>
  <c r="O101" i="38"/>
  <c r="O102" i="38"/>
  <c r="O103" i="38"/>
  <c r="O98" i="38"/>
  <c r="O96" i="38"/>
  <c r="O91" i="38"/>
  <c r="O90" i="38" s="1"/>
  <c r="O85" i="38"/>
  <c r="O83" i="38"/>
  <c r="O82" i="38" s="1"/>
  <c r="O84" i="38"/>
  <c r="O80" i="38"/>
  <c r="O79" i="38" s="1"/>
  <c r="O75" i="38"/>
  <c r="O76" i="38"/>
  <c r="O70" i="38" s="1"/>
  <c r="O64" i="38"/>
  <c r="O65" i="38"/>
  <c r="O52" i="38"/>
  <c r="O14" i="38"/>
  <c r="O13" i="38"/>
  <c r="O15" i="38"/>
  <c r="O18" i="38"/>
  <c r="O56" i="38"/>
  <c r="O57" i="38"/>
  <c r="O73" i="38"/>
  <c r="O58" i="38"/>
  <c r="O23" i="38"/>
  <c r="N23" i="38"/>
  <c r="O27" i="38"/>
  <c r="O44" i="38"/>
  <c r="N44" i="38"/>
  <c r="O45" i="38"/>
  <c r="N45" i="38"/>
  <c r="O42" i="38"/>
  <c r="O46" i="38"/>
  <c r="O47" i="38"/>
  <c r="O48" i="38"/>
  <c r="O49" i="38"/>
  <c r="O50" i="38"/>
  <c r="O39" i="38"/>
  <c r="O38" i="38"/>
  <c r="O30" i="38"/>
  <c r="N26" i="38"/>
  <c r="O26" i="38"/>
  <c r="O24" i="38"/>
  <c r="O43" i="38" s="1"/>
  <c r="O22" i="38"/>
  <c r="O19" i="38"/>
  <c r="N18" i="38"/>
  <c r="O17" i="38"/>
  <c r="O16" i="38"/>
  <c r="N58" i="38"/>
  <c r="O59" i="38"/>
  <c r="O60" i="38"/>
  <c r="O5" i="38"/>
  <c r="O4" i="38" s="1"/>
  <c r="O6" i="38"/>
  <c r="O7" i="38"/>
  <c r="O8" i="38"/>
  <c r="J124" i="38"/>
  <c r="K127" i="38"/>
  <c r="J122" i="38"/>
  <c r="J119" i="38"/>
  <c r="J161" i="38"/>
  <c r="N96" i="18"/>
  <c r="J142" i="38"/>
  <c r="J5" i="38"/>
  <c r="I167" i="38"/>
  <c r="I146" i="38"/>
  <c r="N29" i="48" l="1"/>
  <c r="N27" i="48"/>
  <c r="L26" i="48"/>
  <c r="N16" i="48"/>
  <c r="H69" i="48"/>
  <c r="H108" i="48"/>
  <c r="H167" i="48"/>
  <c r="H170" i="48"/>
  <c r="D69" i="48"/>
  <c r="D98" i="48"/>
  <c r="D145" i="48"/>
  <c r="C143" i="48"/>
  <c r="C155" i="48"/>
  <c r="C156" i="48" s="1"/>
  <c r="C110" i="48"/>
  <c r="J12" i="48"/>
  <c r="R11" i="48"/>
  <c r="H12" i="48"/>
  <c r="K56" i="48"/>
  <c r="L60" i="48"/>
  <c r="N44" i="48"/>
  <c r="K15" i="48"/>
  <c r="O106" i="48"/>
  <c r="O109" i="48" s="1"/>
  <c r="N109" i="48"/>
  <c r="F155" i="48"/>
  <c r="F156" i="48" s="1"/>
  <c r="F143" i="48"/>
  <c r="F110" i="48"/>
  <c r="I143" i="48"/>
  <c r="I110" i="48"/>
  <c r="E120" i="48"/>
  <c r="E117" i="48"/>
  <c r="E64" i="48"/>
  <c r="E65" i="48" s="1"/>
  <c r="H10" i="48"/>
  <c r="H51" i="48"/>
  <c r="H52" i="48" s="1"/>
  <c r="J117" i="48"/>
  <c r="J120" i="48"/>
  <c r="K120" i="48" s="1"/>
  <c r="R118" i="48"/>
  <c r="J143" i="48"/>
  <c r="J110" i="48"/>
  <c r="R110" i="48" s="1"/>
  <c r="F145" i="48"/>
  <c r="F146" i="48"/>
  <c r="G64" i="48"/>
  <c r="G65" i="48" s="1"/>
  <c r="O65" i="48"/>
  <c r="N64" i="48"/>
  <c r="N63" i="48" s="1"/>
  <c r="I98" i="48"/>
  <c r="D167" i="48"/>
  <c r="D170" i="48"/>
  <c r="E155" i="48"/>
  <c r="E156" i="48" s="1"/>
  <c r="E143" i="48"/>
  <c r="E110" i="48"/>
  <c r="E61" i="48" s="1"/>
  <c r="G89" i="48"/>
  <c r="L70" i="48"/>
  <c r="M76" i="48"/>
  <c r="E52" i="48"/>
  <c r="L78" i="48"/>
  <c r="L77" i="48"/>
  <c r="M29" i="48"/>
  <c r="H96" i="48"/>
  <c r="H89" i="48"/>
  <c r="H98" i="48"/>
  <c r="H120" i="48"/>
  <c r="H117" i="48"/>
  <c r="D96" i="48"/>
  <c r="C167" i="48"/>
  <c r="C170" i="48"/>
  <c r="I10" i="48"/>
  <c r="K53" i="48"/>
  <c r="O22" i="48"/>
  <c r="N21" i="48"/>
  <c r="J64" i="48"/>
  <c r="J65" i="48" s="1"/>
  <c r="J61" i="48"/>
  <c r="L141" i="48"/>
  <c r="L110" i="48" s="1"/>
  <c r="H179" i="48"/>
  <c r="H162" i="48"/>
  <c r="K132" i="48"/>
  <c r="L122" i="48"/>
  <c r="D10" i="48"/>
  <c r="D51" i="48"/>
  <c r="D52" i="48" s="1"/>
  <c r="E125" i="48"/>
  <c r="E129" i="48"/>
  <c r="J98" i="48"/>
  <c r="R121" i="48"/>
  <c r="J123" i="48"/>
  <c r="K123" i="48" s="1"/>
  <c r="F64" i="48"/>
  <c r="F65" i="48" s="1"/>
  <c r="F61" i="48"/>
  <c r="F98" i="48"/>
  <c r="F108" i="48"/>
  <c r="D64" i="48"/>
  <c r="D65" i="48" s="1"/>
  <c r="I64" i="48"/>
  <c r="I65" i="48" s="1"/>
  <c r="I61" i="48"/>
  <c r="E123" i="48"/>
  <c r="E146" i="48"/>
  <c r="E145" i="48"/>
  <c r="G100" i="48"/>
  <c r="G102" i="48" s="1"/>
  <c r="G105" i="48"/>
  <c r="C64" i="48"/>
  <c r="C65" i="48" s="1"/>
  <c r="C61" i="48"/>
  <c r="M42" i="48"/>
  <c r="L34" i="48"/>
  <c r="L27" i="48" s="1"/>
  <c r="K27" i="48"/>
  <c r="K25" i="48" s="1"/>
  <c r="K20" i="48" s="1"/>
  <c r="G129" i="48"/>
  <c r="H64" i="48"/>
  <c r="H65" i="48" s="1"/>
  <c r="H100" i="48"/>
  <c r="H102" i="48" s="1"/>
  <c r="H123" i="48"/>
  <c r="H143" i="48"/>
  <c r="H110" i="48"/>
  <c r="H61" i="48" s="1"/>
  <c r="D105" i="48"/>
  <c r="D120" i="48"/>
  <c r="D117" i="48"/>
  <c r="C96" i="48"/>
  <c r="C105" i="48"/>
  <c r="O29" i="48"/>
  <c r="O23" i="48"/>
  <c r="O27" i="48"/>
  <c r="O45" i="48"/>
  <c r="O44" i="48" s="1"/>
  <c r="L44" i="48"/>
  <c r="L41" i="48" s="1"/>
  <c r="L40" i="48" s="1"/>
  <c r="L37" i="48" s="1"/>
  <c r="I4" i="48"/>
  <c r="I165" i="48" s="1"/>
  <c r="J5" i="48"/>
  <c r="O38" i="48"/>
  <c r="K104" i="48"/>
  <c r="L104" i="48" s="1"/>
  <c r="J105" i="48"/>
  <c r="C112" i="48"/>
  <c r="C51" i="48"/>
  <c r="C52" i="48" s="1"/>
  <c r="D125" i="48"/>
  <c r="D129" i="48" s="1"/>
  <c r="K77" i="48"/>
  <c r="K78" i="48"/>
  <c r="C162" i="48"/>
  <c r="R139" i="48"/>
  <c r="M82" i="48"/>
  <c r="M78" i="48" s="1"/>
  <c r="N39" i="48"/>
  <c r="N79" i="48" s="1"/>
  <c r="M36" i="48"/>
  <c r="M32" i="48" s="1"/>
  <c r="P28" i="48"/>
  <c r="P29" i="48" s="1"/>
  <c r="I125" i="48"/>
  <c r="I129" i="48" s="1"/>
  <c r="J69" i="48"/>
  <c r="K68" i="48"/>
  <c r="J100" i="48"/>
  <c r="J102" i="48" s="1"/>
  <c r="K99" i="48"/>
  <c r="J108" i="48"/>
  <c r="K107" i="48"/>
  <c r="L107" i="48" s="1"/>
  <c r="J170" i="48"/>
  <c r="J167" i="48"/>
  <c r="F100" i="48"/>
  <c r="F102" i="48" s="1"/>
  <c r="F117" i="48"/>
  <c r="F120" i="48"/>
  <c r="E170" i="48"/>
  <c r="E167" i="48"/>
  <c r="M84" i="48"/>
  <c r="M58" i="48"/>
  <c r="G51" i="48"/>
  <c r="G52" i="48" s="1"/>
  <c r="G10" i="48"/>
  <c r="H125" i="48"/>
  <c r="H129" i="48" s="1"/>
  <c r="I120" i="48"/>
  <c r="I117" i="48"/>
  <c r="G69" i="48"/>
  <c r="G120" i="48"/>
  <c r="G117" i="48"/>
  <c r="G108" i="48"/>
  <c r="G143" i="48"/>
  <c r="G110" i="48"/>
  <c r="G61" i="48" s="1"/>
  <c r="F170" i="48"/>
  <c r="F167" i="48"/>
  <c r="C129" i="48"/>
  <c r="H105" i="48"/>
  <c r="H145" i="48"/>
  <c r="D123" i="48"/>
  <c r="D155" i="48"/>
  <c r="D156" i="48" s="1"/>
  <c r="D143" i="48"/>
  <c r="D110" i="48"/>
  <c r="D61" i="48" s="1"/>
  <c r="F125" i="48"/>
  <c r="F129" i="48" s="1"/>
  <c r="L126" i="48"/>
  <c r="K125" i="48"/>
  <c r="C145" i="48"/>
  <c r="C146" i="48"/>
  <c r="K41" i="48"/>
  <c r="L25" i="48"/>
  <c r="L20" i="48" s="1"/>
  <c r="L18" i="48"/>
  <c r="M26" i="48"/>
  <c r="O31" i="38"/>
  <c r="O29" i="38" s="1"/>
  <c r="O28" i="38"/>
  <c r="O21" i="38"/>
  <c r="O78" i="38"/>
  <c r="O11" i="38"/>
  <c r="O12" i="38" s="1"/>
  <c r="O41" i="38"/>
  <c r="O40" i="38" s="1"/>
  <c r="O37" i="38" s="1"/>
  <c r="K105" i="38"/>
  <c r="L105" i="38"/>
  <c r="M105" i="38"/>
  <c r="N105" i="38"/>
  <c r="L96" i="38"/>
  <c r="M96" i="38" s="1"/>
  <c r="N96" i="38" s="1"/>
  <c r="J101" i="38"/>
  <c r="J80" i="38"/>
  <c r="J73" i="38"/>
  <c r="J67" i="38"/>
  <c r="K6" i="38"/>
  <c r="I56" i="38"/>
  <c r="J37" i="38"/>
  <c r="I37" i="38"/>
  <c r="D62" i="48" l="1"/>
  <c r="D112" i="48"/>
  <c r="G62" i="48"/>
  <c r="G112" i="48"/>
  <c r="H62" i="48"/>
  <c r="H112" i="48"/>
  <c r="E62" i="48"/>
  <c r="E112" i="48"/>
  <c r="C137" i="48"/>
  <c r="C114" i="48"/>
  <c r="C115" i="48" s="1"/>
  <c r="C116" i="48" s="1"/>
  <c r="C113" i="48"/>
  <c r="M104" i="48"/>
  <c r="C134" i="48"/>
  <c r="I62" i="48"/>
  <c r="I112" i="48"/>
  <c r="F62" i="48"/>
  <c r="F112" i="48"/>
  <c r="M122" i="48"/>
  <c r="L132" i="48"/>
  <c r="L142" i="48"/>
  <c r="L55" i="48"/>
  <c r="L120" i="48"/>
  <c r="M120" i="48" s="1"/>
  <c r="N120" i="48" s="1"/>
  <c r="O120" i="48" s="1"/>
  <c r="K118" i="48"/>
  <c r="K13" i="48"/>
  <c r="K11" i="48" s="1"/>
  <c r="D146" i="48"/>
  <c r="M107" i="48"/>
  <c r="N107" i="48" s="1"/>
  <c r="P5" i="48"/>
  <c r="K5" i="48"/>
  <c r="J4" i="48"/>
  <c r="J165" i="48" s="1"/>
  <c r="K9" i="48"/>
  <c r="M25" i="48"/>
  <c r="M20" i="48" s="1"/>
  <c r="N26" i="48"/>
  <c r="M18" i="48"/>
  <c r="M126" i="48"/>
  <c r="L125" i="48"/>
  <c r="N82" i="48"/>
  <c r="N78" i="48" s="1"/>
  <c r="O39" i="48"/>
  <c r="O82" i="48" s="1"/>
  <c r="O79" i="48"/>
  <c r="O58" i="48"/>
  <c r="N42" i="48"/>
  <c r="N84" i="48" s="1"/>
  <c r="M41" i="48"/>
  <c r="M40" i="48" s="1"/>
  <c r="M37" i="48" s="1"/>
  <c r="L123" i="48"/>
  <c r="K121" i="48"/>
  <c r="J62" i="48"/>
  <c r="J112" i="48"/>
  <c r="O21" i="48"/>
  <c r="M81" i="48"/>
  <c r="L15" i="48"/>
  <c r="L13" i="48"/>
  <c r="L11" i="48" s="1"/>
  <c r="C163" i="48"/>
  <c r="L99" i="48"/>
  <c r="K100" i="48"/>
  <c r="N58" i="48"/>
  <c r="M70" i="48"/>
  <c r="N76" i="48"/>
  <c r="O64" i="48"/>
  <c r="O63" i="48" s="1"/>
  <c r="M60" i="48"/>
  <c r="L59" i="48"/>
  <c r="L56" i="48" s="1"/>
  <c r="O16" i="48"/>
  <c r="O36" i="38"/>
  <c r="O32" i="38" s="1"/>
  <c r="O25" i="38"/>
  <c r="J15" i="38"/>
  <c r="L12" i="48" l="1"/>
  <c r="O76" i="48"/>
  <c r="O70" i="48" s="1"/>
  <c r="N70" i="48"/>
  <c r="N126" i="48"/>
  <c r="M125" i="48"/>
  <c r="K95" i="48"/>
  <c r="K10" i="48"/>
  <c r="L51" i="48"/>
  <c r="K156" i="48"/>
  <c r="K179" i="48"/>
  <c r="K145" i="48"/>
  <c r="K117" i="48"/>
  <c r="N104" i="48"/>
  <c r="M132" i="48"/>
  <c r="N122" i="48"/>
  <c r="I137" i="48"/>
  <c r="I114" i="48"/>
  <c r="I113" i="48"/>
  <c r="I136" i="48"/>
  <c r="I134" i="48"/>
  <c r="E137" i="48"/>
  <c r="E114" i="48"/>
  <c r="E113" i="48"/>
  <c r="E136" i="48"/>
  <c r="E134" i="48"/>
  <c r="L100" i="48"/>
  <c r="M99" i="48"/>
  <c r="N81" i="48"/>
  <c r="M77" i="48"/>
  <c r="J113" i="48"/>
  <c r="J137" i="48"/>
  <c r="J114" i="48"/>
  <c r="J136" i="48"/>
  <c r="J134" i="48"/>
  <c r="M123" i="48"/>
  <c r="L121" i="48"/>
  <c r="M15" i="48"/>
  <c r="M13" i="48"/>
  <c r="M11" i="48" s="1"/>
  <c r="M12" i="48" s="1"/>
  <c r="N60" i="48"/>
  <c r="M59" i="48"/>
  <c r="M56" i="48" s="1"/>
  <c r="O26" i="48"/>
  <c r="O107" i="48" s="1"/>
  <c r="N25" i="48"/>
  <c r="N20" i="48" s="1"/>
  <c r="N18" i="48"/>
  <c r="M55" i="48"/>
  <c r="L53" i="48"/>
  <c r="L68" i="48" s="1"/>
  <c r="D137" i="48"/>
  <c r="D113" i="48"/>
  <c r="D114" i="48"/>
  <c r="D136" i="48"/>
  <c r="D134" i="48"/>
  <c r="N41" i="48"/>
  <c r="N40" i="48" s="1"/>
  <c r="N37" i="48" s="1"/>
  <c r="O42" i="48"/>
  <c r="O41" i="48" s="1"/>
  <c r="O40" i="48" s="1"/>
  <c r="O37" i="48" s="1"/>
  <c r="O78" i="48"/>
  <c r="L5" i="48"/>
  <c r="K4" i="48"/>
  <c r="K165" i="48" s="1"/>
  <c r="K12" i="48"/>
  <c r="K97" i="48"/>
  <c r="L97" i="48" s="1"/>
  <c r="M141" i="48"/>
  <c r="M110" i="48" s="1"/>
  <c r="F137" i="48"/>
  <c r="F113" i="48"/>
  <c r="F114" i="48"/>
  <c r="F134" i="48"/>
  <c r="F136" i="48"/>
  <c r="C138" i="48"/>
  <c r="C164" i="48" s="1"/>
  <c r="C166" i="48" s="1"/>
  <c r="C140" i="48"/>
  <c r="C169" i="48"/>
  <c r="H137" i="48"/>
  <c r="H113" i="48"/>
  <c r="H114" i="48"/>
  <c r="H136" i="48"/>
  <c r="H134" i="48"/>
  <c r="G137" i="48"/>
  <c r="G114" i="48"/>
  <c r="G113" i="48"/>
  <c r="G136" i="48"/>
  <c r="G134" i="48"/>
  <c r="O20" i="38"/>
  <c r="L9" i="48" l="1"/>
  <c r="L145" i="48" s="1"/>
  <c r="G138" i="48"/>
  <c r="G169" i="48"/>
  <c r="G140" i="48"/>
  <c r="M97" i="48"/>
  <c r="L4" i="48"/>
  <c r="L165" i="48" s="1"/>
  <c r="M5" i="48"/>
  <c r="D115" i="48"/>
  <c r="D116" i="48" s="1"/>
  <c r="D163" i="48"/>
  <c r="N55" i="48"/>
  <c r="M53" i="48"/>
  <c r="E115" i="48"/>
  <c r="E116" i="48" s="1"/>
  <c r="E163" i="48"/>
  <c r="O126" i="48"/>
  <c r="O125" i="48" s="1"/>
  <c r="N125" i="48"/>
  <c r="H115" i="48"/>
  <c r="H163" i="48"/>
  <c r="F115" i="48"/>
  <c r="F116" i="48" s="1"/>
  <c r="F163" i="48"/>
  <c r="N15" i="48"/>
  <c r="N13" i="48"/>
  <c r="N11" i="48" s="1"/>
  <c r="N12" i="48" s="1"/>
  <c r="E138" i="48"/>
  <c r="E164" i="48" s="1"/>
  <c r="E166" i="48" s="1"/>
  <c r="E140" i="48"/>
  <c r="E169" i="48"/>
  <c r="I180" i="48"/>
  <c r="I115" i="48"/>
  <c r="I116" i="48" s="1"/>
  <c r="I163" i="48"/>
  <c r="K61" i="48"/>
  <c r="G115" i="48"/>
  <c r="G163" i="48"/>
  <c r="H138" i="48"/>
  <c r="H140" i="48"/>
  <c r="H169" i="48"/>
  <c r="F138" i="48"/>
  <c r="F164" i="48" s="1"/>
  <c r="F166" i="48" s="1"/>
  <c r="F169" i="48"/>
  <c r="F140" i="48"/>
  <c r="M142" i="48"/>
  <c r="D138" i="48"/>
  <c r="D164" i="48" s="1"/>
  <c r="D166" i="48" s="1"/>
  <c r="D169" i="48"/>
  <c r="D140" i="48"/>
  <c r="O60" i="48"/>
  <c r="O59" i="48" s="1"/>
  <c r="O56" i="48" s="1"/>
  <c r="N59" i="48"/>
  <c r="N56" i="48" s="1"/>
  <c r="J180" i="48"/>
  <c r="J115" i="48"/>
  <c r="J163" i="48"/>
  <c r="O81" i="48"/>
  <c r="O77" i="48" s="1"/>
  <c r="N77" i="48"/>
  <c r="I138" i="48"/>
  <c r="I164" i="48" s="1"/>
  <c r="I166" i="48" s="1"/>
  <c r="I169" i="48"/>
  <c r="I140" i="48"/>
  <c r="O104" i="48"/>
  <c r="M68" i="48"/>
  <c r="O25" i="48"/>
  <c r="O20" i="48" s="1"/>
  <c r="O18" i="48"/>
  <c r="N123" i="48"/>
  <c r="M121" i="48"/>
  <c r="J138" i="48"/>
  <c r="J169" i="48"/>
  <c r="J140" i="48"/>
  <c r="K140" i="48" s="1"/>
  <c r="L140" i="48" s="1"/>
  <c r="M140" i="48" s="1"/>
  <c r="N140" i="48" s="1"/>
  <c r="O140" i="48" s="1"/>
  <c r="N99" i="48"/>
  <c r="M100" i="48"/>
  <c r="O122" i="48"/>
  <c r="N132" i="48"/>
  <c r="O84" i="48"/>
  <c r="C37" i="38"/>
  <c r="D37" i="38"/>
  <c r="E37" i="38"/>
  <c r="F37" i="38"/>
  <c r="G37" i="38"/>
  <c r="H37" i="38"/>
  <c r="K26" i="38"/>
  <c r="J26" i="38"/>
  <c r="J27" i="38"/>
  <c r="J13" i="38" s="1"/>
  <c r="J11" i="38" s="1"/>
  <c r="C36" i="38"/>
  <c r="C32" i="38" s="1"/>
  <c r="D36" i="38"/>
  <c r="D32" i="38" s="1"/>
  <c r="E36" i="38"/>
  <c r="E32" i="38" s="1"/>
  <c r="F36" i="38"/>
  <c r="F32" i="38" s="1"/>
  <c r="G36" i="38"/>
  <c r="G32" i="38" s="1"/>
  <c r="H36" i="38"/>
  <c r="H32" i="38" s="1"/>
  <c r="I36" i="38"/>
  <c r="I32" i="38" s="1"/>
  <c r="K35" i="38"/>
  <c r="K34" i="38"/>
  <c r="L34" i="38" s="1"/>
  <c r="J34" i="38"/>
  <c r="J36" i="38"/>
  <c r="J32" i="38" s="1"/>
  <c r="P37" i="38"/>
  <c r="I25" i="38"/>
  <c r="I73" i="38"/>
  <c r="L179" i="48" l="1"/>
  <c r="L156" i="48"/>
  <c r="M51" i="48"/>
  <c r="M9" i="48" s="1"/>
  <c r="L10" i="48"/>
  <c r="L95" i="48"/>
  <c r="L61" i="48" s="1"/>
  <c r="L62" i="48" s="1"/>
  <c r="N100" i="48"/>
  <c r="O99" i="48"/>
  <c r="O100" i="48" s="1"/>
  <c r="N141" i="48"/>
  <c r="N110" i="48" s="1"/>
  <c r="G164" i="48"/>
  <c r="G166" i="48" s="1"/>
  <c r="G116" i="48"/>
  <c r="N53" i="48"/>
  <c r="O55" i="48"/>
  <c r="O53" i="48" s="1"/>
  <c r="O132" i="48"/>
  <c r="O123" i="48"/>
  <c r="O121" i="48" s="1"/>
  <c r="N121" i="48"/>
  <c r="J116" i="48"/>
  <c r="R115" i="48"/>
  <c r="K62" i="48"/>
  <c r="K112" i="48"/>
  <c r="H164" i="48"/>
  <c r="H166" i="48" s="1"/>
  <c r="H116" i="48"/>
  <c r="N97" i="48"/>
  <c r="N68" i="48"/>
  <c r="O15" i="48"/>
  <c r="O13" i="48"/>
  <c r="O11" i="48" s="1"/>
  <c r="O12" i="48" s="1"/>
  <c r="J164" i="48"/>
  <c r="R138" i="48"/>
  <c r="M4" i="48"/>
  <c r="M165" i="48" s="1"/>
  <c r="N5" i="48"/>
  <c r="K18" i="38"/>
  <c r="K27" i="38"/>
  <c r="L35" i="38"/>
  <c r="J25" i="38"/>
  <c r="L112" i="48" l="1"/>
  <c r="L114" i="48" s="1"/>
  <c r="L115" i="48" s="1"/>
  <c r="L116" i="48" s="1"/>
  <c r="M156" i="48"/>
  <c r="M10" i="48"/>
  <c r="M179" i="48"/>
  <c r="M95" i="48"/>
  <c r="M61" i="48" s="1"/>
  <c r="M112" i="48" s="1"/>
  <c r="N51" i="48"/>
  <c r="M145" i="48"/>
  <c r="N9" i="48"/>
  <c r="N95" i="48" s="1"/>
  <c r="N61" i="48" s="1"/>
  <c r="N62" i="48" s="1"/>
  <c r="L113" i="48"/>
  <c r="J166" i="48"/>
  <c r="R164" i="48"/>
  <c r="O97" i="48"/>
  <c r="K114" i="48"/>
  <c r="K115" i="48" s="1"/>
  <c r="K116" i="48" s="1"/>
  <c r="K133" i="48"/>
  <c r="K137" i="48" s="1"/>
  <c r="K113" i="48"/>
  <c r="K135" i="48"/>
  <c r="O5" i="48"/>
  <c r="O4" i="48" s="1"/>
  <c r="O165" i="48" s="1"/>
  <c r="N4" i="48"/>
  <c r="N165" i="48" s="1"/>
  <c r="N142" i="48"/>
  <c r="O68" i="48"/>
  <c r="N24" i="38"/>
  <c r="N21" i="38" s="1"/>
  <c r="N19" i="38"/>
  <c r="M62" i="48" l="1"/>
  <c r="N145" i="48"/>
  <c r="N179" i="48"/>
  <c r="N156" i="48"/>
  <c r="O51" i="48"/>
  <c r="O9" i="48" s="1"/>
  <c r="O10" i="48" s="1"/>
  <c r="N10" i="48"/>
  <c r="K138" i="48"/>
  <c r="K139" i="48"/>
  <c r="O141" i="48"/>
  <c r="O110" i="48" s="1"/>
  <c r="K161" i="48"/>
  <c r="N112" i="48"/>
  <c r="M114" i="48"/>
  <c r="M115" i="48" s="1"/>
  <c r="M116" i="48" s="1"/>
  <c r="M113" i="48"/>
  <c r="Q160" i="38"/>
  <c r="O179" i="48" l="1"/>
  <c r="O145" i="48"/>
  <c r="O95" i="48"/>
  <c r="O61" i="48" s="1"/>
  <c r="O156" i="48"/>
  <c r="O142" i="48"/>
  <c r="K162" i="48"/>
  <c r="N113" i="48"/>
  <c r="N114" i="48"/>
  <c r="N115" i="48" s="1"/>
  <c r="N116" i="48" s="1"/>
  <c r="K164" i="48"/>
  <c r="K119" i="48"/>
  <c r="Q127" i="38"/>
  <c r="O62" i="48" l="1"/>
  <c r="O112" i="48"/>
  <c r="O114" i="48"/>
  <c r="O115" i="48" s="1"/>
  <c r="O116" i="48" s="1"/>
  <c r="O113" i="48"/>
  <c r="L118" i="48"/>
  <c r="L117" i="48" s="1"/>
  <c r="K129" i="48"/>
  <c r="K163" i="48" s="1"/>
  <c r="K168" i="48"/>
  <c r="K166" i="48"/>
  <c r="Q139" i="38"/>
  <c r="Q144" i="38"/>
  <c r="Q118" i="38"/>
  <c r="Q121" i="38"/>
  <c r="Q110" i="38"/>
  <c r="Q141" i="38" s="1"/>
  <c r="Q135" i="38"/>
  <c r="Q133" i="38"/>
  <c r="L135" i="48" l="1"/>
  <c r="L133" i="48"/>
  <c r="K167" i="48"/>
  <c r="K170" i="48"/>
  <c r="L19" i="38"/>
  <c r="M19" i="38"/>
  <c r="P19" i="38" s="1"/>
  <c r="L24" i="38"/>
  <c r="M24" i="38"/>
  <c r="P24" i="38" s="1"/>
  <c r="L153" i="38"/>
  <c r="K153" i="38"/>
  <c r="J153" i="38"/>
  <c r="L92" i="18"/>
  <c r="M92" i="18"/>
  <c r="L161" i="48" l="1"/>
  <c r="L162" i="48" s="1"/>
  <c r="L137" i="48"/>
  <c r="L139" i="48" s="1"/>
  <c r="J7" i="38"/>
  <c r="J8" i="38"/>
  <c r="L138" i="48" l="1"/>
  <c r="L164" i="48" s="1"/>
  <c r="J132" i="38"/>
  <c r="J131" i="38"/>
  <c r="J133" i="38"/>
  <c r="J168" i="38"/>
  <c r="J135" i="38"/>
  <c r="J144" i="38"/>
  <c r="J139" i="38"/>
  <c r="J130" i="38"/>
  <c r="J160" i="38"/>
  <c r="R160" i="38" s="1"/>
  <c r="J118" i="38"/>
  <c r="J121" i="38"/>
  <c r="J123" i="38" s="1"/>
  <c r="K123" i="38" s="1"/>
  <c r="J95" i="38"/>
  <c r="J96" i="38" s="1"/>
  <c r="J9" i="38"/>
  <c r="J162" i="38" s="1"/>
  <c r="J104" i="38"/>
  <c r="J111" i="38"/>
  <c r="J99" i="38"/>
  <c r="J77" i="38"/>
  <c r="J63" i="38"/>
  <c r="J64" i="38" s="1"/>
  <c r="J65" i="38" s="1"/>
  <c r="J141" i="38"/>
  <c r="J143" i="38" s="1"/>
  <c r="J97" i="38"/>
  <c r="J107" i="38"/>
  <c r="J81" i="38"/>
  <c r="J68" i="38"/>
  <c r="J6" i="38"/>
  <c r="J127" i="38"/>
  <c r="J125" i="38" s="1"/>
  <c r="J129" i="38" s="1"/>
  <c r="J128" i="38"/>
  <c r="K31" i="38"/>
  <c r="L119" i="48" l="1"/>
  <c r="M118" i="48" s="1"/>
  <c r="M117" i="48" s="1"/>
  <c r="L166" i="48"/>
  <c r="L168" i="48"/>
  <c r="J170" i="38"/>
  <c r="J167" i="38"/>
  <c r="J105" i="38"/>
  <c r="J117" i="38"/>
  <c r="J120" i="38"/>
  <c r="J145" i="38"/>
  <c r="K28" i="38"/>
  <c r="K36" i="38" s="1"/>
  <c r="K32" i="38" s="1"/>
  <c r="L129" i="48" l="1"/>
  <c r="L163" i="48" s="1"/>
  <c r="M135" i="48"/>
  <c r="M133" i="48"/>
  <c r="L167" i="48"/>
  <c r="L170" i="48"/>
  <c r="R4" i="43"/>
  <c r="R13" i="43" s="1"/>
  <c r="M161" i="48" l="1"/>
  <c r="M162" i="48" s="1"/>
  <c r="M137" i="48"/>
  <c r="E41" i="43"/>
  <c r="E25" i="43"/>
  <c r="F25" i="43"/>
  <c r="G25" i="43"/>
  <c r="H25" i="43"/>
  <c r="I25" i="43"/>
  <c r="D25" i="43"/>
  <c r="E19" i="43"/>
  <c r="F19" i="43"/>
  <c r="G19" i="43"/>
  <c r="H19" i="43"/>
  <c r="I19" i="43"/>
  <c r="D19" i="43"/>
  <c r="E37" i="43"/>
  <c r="P47" i="43"/>
  <c r="M139" i="48" l="1"/>
  <c r="M138" i="48"/>
  <c r="I39" i="43"/>
  <c r="M164" i="48" l="1"/>
  <c r="M119" i="48"/>
  <c r="D7" i="43"/>
  <c r="E7" i="43"/>
  <c r="F7" i="43"/>
  <c r="G7" i="43"/>
  <c r="G32" i="43" s="1"/>
  <c r="H7" i="43"/>
  <c r="I7" i="43"/>
  <c r="D13" i="43"/>
  <c r="D32" i="43" s="1"/>
  <c r="E13" i="43"/>
  <c r="E32" i="43" s="1"/>
  <c r="F13" i="43"/>
  <c r="G13" i="43"/>
  <c r="H13" i="43"/>
  <c r="I13" i="43"/>
  <c r="I32" i="43" s="1"/>
  <c r="D39" i="43"/>
  <c r="E39" i="43"/>
  <c r="F39" i="43"/>
  <c r="H39" i="43"/>
  <c r="D28" i="43"/>
  <c r="E28" i="43"/>
  <c r="F28" i="43"/>
  <c r="G28" i="43"/>
  <c r="H28" i="43"/>
  <c r="I28" i="43"/>
  <c r="D29" i="43"/>
  <c r="E29" i="43"/>
  <c r="F29" i="43"/>
  <c r="G29" i="43"/>
  <c r="H29" i="43"/>
  <c r="I29" i="43"/>
  <c r="D30" i="43"/>
  <c r="E30" i="43"/>
  <c r="F30" i="43"/>
  <c r="G30" i="43"/>
  <c r="H30" i="43"/>
  <c r="I30" i="43"/>
  <c r="D31" i="43"/>
  <c r="E31" i="43"/>
  <c r="F31" i="43"/>
  <c r="G31" i="43"/>
  <c r="H31" i="43"/>
  <c r="I31" i="43"/>
  <c r="H32" i="43"/>
  <c r="D35" i="43"/>
  <c r="E35" i="43"/>
  <c r="F35" i="43"/>
  <c r="H35" i="43"/>
  <c r="I35" i="43"/>
  <c r="D36" i="43"/>
  <c r="E36" i="43"/>
  <c r="F36" i="43"/>
  <c r="G36" i="43"/>
  <c r="H36" i="43"/>
  <c r="I36" i="43"/>
  <c r="D37" i="43"/>
  <c r="F37" i="43"/>
  <c r="G37" i="43"/>
  <c r="H37" i="43"/>
  <c r="I37" i="43"/>
  <c r="D38" i="43"/>
  <c r="E38" i="43"/>
  <c r="F38" i="43"/>
  <c r="G38" i="43"/>
  <c r="H38" i="43"/>
  <c r="I38" i="43"/>
  <c r="G39" i="43"/>
  <c r="D41" i="43"/>
  <c r="F41" i="43"/>
  <c r="G41" i="43"/>
  <c r="H41" i="43"/>
  <c r="I41" i="43"/>
  <c r="J41" i="43"/>
  <c r="D42" i="43"/>
  <c r="E42" i="43"/>
  <c r="F42" i="43"/>
  <c r="G42" i="43"/>
  <c r="G45" i="43" s="1"/>
  <c r="H42" i="43"/>
  <c r="I42" i="43"/>
  <c r="J42" i="43"/>
  <c r="D43" i="43"/>
  <c r="L43" i="43" s="1"/>
  <c r="N43" i="43" s="1"/>
  <c r="E43" i="43"/>
  <c r="F43" i="43"/>
  <c r="G43" i="43"/>
  <c r="H43" i="43"/>
  <c r="I43" i="43"/>
  <c r="J43" i="43"/>
  <c r="D44" i="43"/>
  <c r="L44" i="43" s="1"/>
  <c r="N44" i="43" s="1"/>
  <c r="E44" i="43"/>
  <c r="F44" i="43"/>
  <c r="G44" i="43"/>
  <c r="H44" i="43"/>
  <c r="I44" i="43"/>
  <c r="J44" i="43"/>
  <c r="I45" i="43"/>
  <c r="M45" i="43"/>
  <c r="D47" i="43"/>
  <c r="E47" i="43"/>
  <c r="F47" i="43"/>
  <c r="G47" i="43"/>
  <c r="G51" i="43" s="1"/>
  <c r="H47" i="43"/>
  <c r="I47" i="43"/>
  <c r="J47" i="43"/>
  <c r="L47" i="43"/>
  <c r="D48" i="43"/>
  <c r="E48" i="43"/>
  <c r="F48" i="43"/>
  <c r="G48" i="43"/>
  <c r="H48" i="43"/>
  <c r="I48" i="43"/>
  <c r="J48" i="43"/>
  <c r="D49" i="43"/>
  <c r="L49" i="43" s="1"/>
  <c r="E49" i="43"/>
  <c r="F49" i="43"/>
  <c r="G49" i="43"/>
  <c r="H49" i="43"/>
  <c r="I49" i="43"/>
  <c r="J49" i="43"/>
  <c r="D50" i="43"/>
  <c r="E50" i="43"/>
  <c r="F50" i="43"/>
  <c r="G50" i="43"/>
  <c r="H50" i="43"/>
  <c r="I50" i="43"/>
  <c r="J50" i="43"/>
  <c r="M53" i="43"/>
  <c r="M58" i="43"/>
  <c r="E67" i="43"/>
  <c r="E68" i="43"/>
  <c r="E69" i="43"/>
  <c r="E70" i="43"/>
  <c r="N118" i="48" l="1"/>
  <c r="N117" i="48" s="1"/>
  <c r="M129" i="48"/>
  <c r="M163" i="48" s="1"/>
  <c r="M166" i="48"/>
  <c r="M168" i="48"/>
  <c r="N47" i="43"/>
  <c r="F45" i="43"/>
  <c r="L41" i="43"/>
  <c r="O47" i="43" s="1"/>
  <c r="E45" i="43"/>
  <c r="L50" i="43"/>
  <c r="J45" i="43"/>
  <c r="J51" i="43"/>
  <c r="F51" i="43"/>
  <c r="H51" i="43"/>
  <c r="D51" i="43"/>
  <c r="H45" i="43"/>
  <c r="L42" i="43"/>
  <c r="N42" i="43" s="1"/>
  <c r="F32" i="43"/>
  <c r="I51" i="43"/>
  <c r="E51" i="43"/>
  <c r="P49" i="43"/>
  <c r="O49" i="43"/>
  <c r="L45" i="43"/>
  <c r="N45" i="43" s="1"/>
  <c r="N41" i="43"/>
  <c r="L53" i="43"/>
  <c r="L54" i="43" s="1"/>
  <c r="L55" i="43" s="1"/>
  <c r="L56" i="43" s="1"/>
  <c r="N53" i="43"/>
  <c r="M50" i="43"/>
  <c r="P50" i="43" s="1"/>
  <c r="O50" i="43"/>
  <c r="P58" i="43"/>
  <c r="L58" i="43"/>
  <c r="N58" i="43" s="1"/>
  <c r="M54" i="43"/>
  <c r="L48" i="43"/>
  <c r="D45" i="43"/>
  <c r="M170" i="48" l="1"/>
  <c r="M167" i="48"/>
  <c r="N135" i="48"/>
  <c r="N133" i="48"/>
  <c r="O48" i="43"/>
  <c r="M48" i="43"/>
  <c r="L51" i="43"/>
  <c r="M55" i="43"/>
  <c r="N54" i="43"/>
  <c r="O58" i="43"/>
  <c r="L59" i="43"/>
  <c r="N161" i="48" l="1"/>
  <c r="N162" i="48" s="1"/>
  <c r="N137" i="48"/>
  <c r="N138" i="48" s="1"/>
  <c r="M56" i="43"/>
  <c r="N56" i="43" s="1"/>
  <c r="N55" i="43"/>
  <c r="L60" i="43"/>
  <c r="O59" i="43"/>
  <c r="M51" i="43"/>
  <c r="N51" i="43" s="1"/>
  <c r="P48" i="43"/>
  <c r="M59" i="43"/>
  <c r="N139" i="48" l="1"/>
  <c r="N164" i="48" s="1"/>
  <c r="N119" i="48"/>
  <c r="N59" i="43"/>
  <c r="M60" i="43"/>
  <c r="P59" i="43"/>
  <c r="L61" i="43"/>
  <c r="O61" i="43" s="1"/>
  <c r="O60" i="43"/>
  <c r="O118" i="48" l="1"/>
  <c r="O117" i="48" s="1"/>
  <c r="N129" i="48"/>
  <c r="N163" i="48" s="1"/>
  <c r="N168" i="48"/>
  <c r="N166" i="48"/>
  <c r="P60" i="43"/>
  <c r="N60" i="43"/>
  <c r="M61" i="43"/>
  <c r="P61" i="43" s="1"/>
  <c r="I168" i="38"/>
  <c r="N170" i="48" l="1"/>
  <c r="N167" i="48"/>
  <c r="O135" i="48"/>
  <c r="O133" i="48"/>
  <c r="O137" i="48" s="1"/>
  <c r="I170" i="38"/>
  <c r="N61" i="43"/>
  <c r="K148" i="38"/>
  <c r="K146" i="38" s="1"/>
  <c r="J148" i="38"/>
  <c r="J146" i="38" s="1"/>
  <c r="L146" i="38"/>
  <c r="M146" i="38"/>
  <c r="N146" i="38"/>
  <c r="I92" i="38"/>
  <c r="N91" i="38"/>
  <c r="O138" i="48" l="1"/>
  <c r="O139" i="48"/>
  <c r="O161" i="48"/>
  <c r="O162" i="48" s="1"/>
  <c r="D53" i="38"/>
  <c r="E53" i="38"/>
  <c r="F53" i="38"/>
  <c r="G53" i="38"/>
  <c r="H53" i="38"/>
  <c r="I53" i="38"/>
  <c r="C53" i="38"/>
  <c r="O164" i="48" l="1"/>
  <c r="O119" i="48"/>
  <c r="O129" i="48" s="1"/>
  <c r="O163" i="48" s="1"/>
  <c r="I103" i="38"/>
  <c r="J103" i="38" s="1"/>
  <c r="K103" i="38" s="1"/>
  <c r="L103" i="38" s="1"/>
  <c r="M103" i="38" s="1"/>
  <c r="N103" i="38" s="1"/>
  <c r="C101" i="38"/>
  <c r="D101" i="38"/>
  <c r="E101" i="38"/>
  <c r="F101" i="38"/>
  <c r="G101" i="38"/>
  <c r="H101" i="38"/>
  <c r="I101" i="38"/>
  <c r="L102" i="38"/>
  <c r="M102" i="38" s="1"/>
  <c r="N102" i="38" s="1"/>
  <c r="N101" i="38"/>
  <c r="M101" i="38"/>
  <c r="L101" i="38"/>
  <c r="K101" i="38"/>
  <c r="O168" i="48" l="1"/>
  <c r="O166" i="48"/>
  <c r="H27" i="38"/>
  <c r="L169" i="38"/>
  <c r="H155" i="38"/>
  <c r="G155" i="38"/>
  <c r="O167" i="48" l="1"/>
  <c r="O170" i="48"/>
  <c r="I142" i="38"/>
  <c r="I124" i="38"/>
  <c r="I122" i="38"/>
  <c r="I119" i="38"/>
  <c r="M98" i="18"/>
  <c r="N97" i="18"/>
  <c r="M96" i="18"/>
  <c r="M94" i="18"/>
  <c r="I78" i="38"/>
  <c r="H78" i="38"/>
  <c r="I67" i="38"/>
  <c r="I38" i="38"/>
  <c r="I80" i="38" s="1"/>
  <c r="F60" i="38"/>
  <c r="G60" i="38"/>
  <c r="H60" i="38"/>
  <c r="I60" i="38"/>
  <c r="I161" i="38" l="1"/>
  <c r="J60" i="38"/>
  <c r="K60" i="38" s="1"/>
  <c r="L60" i="38" s="1"/>
  <c r="M60" i="38" s="1"/>
  <c r="N60" i="38" s="1"/>
  <c r="J59" i="38" l="1"/>
  <c r="J56" i="38" s="1"/>
  <c r="I43" i="38" l="1"/>
  <c r="I41" i="38" s="1"/>
  <c r="I50" i="38" s="1"/>
  <c r="I46" i="38" l="1"/>
  <c r="I45" i="38" s="1"/>
  <c r="I49" i="38" s="1"/>
  <c r="I15" i="38"/>
  <c r="I21" i="38" l="1"/>
  <c r="I29" i="38"/>
  <c r="I20" i="38" l="1"/>
  <c r="R25" i="18"/>
  <c r="R31" i="18"/>
  <c r="R51" i="18"/>
  <c r="R68" i="18"/>
  <c r="R116" i="18"/>
  <c r="R132" i="18"/>
  <c r="N108" i="38"/>
  <c r="N178" i="38"/>
  <c r="I27" i="38" l="1"/>
  <c r="H72" i="38"/>
  <c r="H71" i="38" s="1"/>
  <c r="H73" i="38" s="1"/>
  <c r="K73" i="38" l="1"/>
  <c r="L73" i="38" s="1"/>
  <c r="M73" i="38" s="1"/>
  <c r="N73" i="38" s="1"/>
  <c r="I13" i="38"/>
  <c r="I11" i="38" s="1"/>
  <c r="J12" i="38" s="1"/>
  <c r="K14" i="38" l="1"/>
  <c r="L14" i="38" s="1"/>
  <c r="M14" i="38" s="1"/>
  <c r="N14" i="38" s="1"/>
  <c r="H13" i="38" l="1"/>
  <c r="H11" i="38" s="1"/>
  <c r="I12" i="38" l="1"/>
  <c r="I8" i="38"/>
  <c r="C183" i="38" s="1"/>
  <c r="C184" i="38" s="1"/>
  <c r="I127" i="38" l="1"/>
  <c r="I128" i="38"/>
  <c r="B174" i="38"/>
  <c r="B175" i="38" s="1"/>
  <c r="C175" i="38" s="1"/>
  <c r="D175" i="38" s="1"/>
  <c r="G178" i="38"/>
  <c r="H178" i="38"/>
  <c r="J178" i="38"/>
  <c r="K178" i="38"/>
  <c r="L178" i="38"/>
  <c r="M178" i="38"/>
  <c r="I178" i="38"/>
  <c r="I125" i="38" l="1"/>
  <c r="I129" i="38" s="1"/>
  <c r="G132" i="18" l="1"/>
  <c r="H132" i="18"/>
  <c r="F123" i="18"/>
  <c r="F118" i="18"/>
  <c r="F119" i="18"/>
  <c r="F120" i="18"/>
  <c r="F121" i="18"/>
  <c r="A121" i="18"/>
  <c r="A119" i="18"/>
  <c r="A118" i="18"/>
  <c r="I132" i="18"/>
  <c r="J132" i="18"/>
  <c r="N132" i="18"/>
  <c r="A117" i="18"/>
  <c r="B116" i="18"/>
  <c r="C116" i="18"/>
  <c r="D116" i="18"/>
  <c r="E116" i="18"/>
  <c r="F116" i="18"/>
  <c r="G116" i="18"/>
  <c r="H116" i="18"/>
  <c r="J116" i="18"/>
  <c r="K116" i="18"/>
  <c r="L116" i="18"/>
  <c r="M116" i="18"/>
  <c r="N116" i="18"/>
  <c r="O116" i="18"/>
  <c r="P116" i="18"/>
  <c r="Q116" i="18"/>
  <c r="I116" i="18"/>
  <c r="A116" i="18"/>
  <c r="M132" i="18"/>
  <c r="L132" i="18"/>
  <c r="K132" i="18"/>
  <c r="A123" i="18"/>
  <c r="A120" i="18"/>
  <c r="F36" i="41" l="1"/>
  <c r="G36" i="41" s="1"/>
  <c r="H36" i="41" s="1"/>
  <c r="I36" i="41" s="1"/>
  <c r="J36" i="41" s="1"/>
  <c r="K36" i="41" s="1"/>
  <c r="L36" i="41" s="1"/>
  <c r="M36" i="41" s="1"/>
  <c r="N36" i="41" s="1"/>
  <c r="O36" i="41" s="1"/>
  <c r="P36" i="41" s="1"/>
  <c r="Q36" i="41" s="1"/>
  <c r="F35" i="41"/>
  <c r="G35" i="41" s="1"/>
  <c r="H35" i="41" s="1"/>
  <c r="I35" i="41" s="1"/>
  <c r="J35" i="41" s="1"/>
  <c r="K35" i="41" s="1"/>
  <c r="L35" i="41" s="1"/>
  <c r="M35" i="41" s="1"/>
  <c r="N35" i="41" s="1"/>
  <c r="O35" i="41" s="1"/>
  <c r="P35" i="41" s="1"/>
  <c r="Q35" i="41" s="1"/>
  <c r="F30" i="41"/>
  <c r="G30" i="41" s="1"/>
  <c r="H30" i="41" s="1"/>
  <c r="I30" i="41" s="1"/>
  <c r="J30" i="41" s="1"/>
  <c r="K30" i="41" s="1"/>
  <c r="L30" i="41" s="1"/>
  <c r="M30" i="41" s="1"/>
  <c r="N30" i="41" s="1"/>
  <c r="O30" i="41" s="1"/>
  <c r="P30" i="41" s="1"/>
  <c r="Q30" i="41" s="1"/>
  <c r="F29" i="41"/>
  <c r="G29" i="41" s="1"/>
  <c r="H29" i="41" s="1"/>
  <c r="I29" i="41" s="1"/>
  <c r="J29" i="41" s="1"/>
  <c r="K29" i="41" s="1"/>
  <c r="L29" i="41" s="1"/>
  <c r="M29" i="41" s="1"/>
  <c r="N29" i="41" s="1"/>
  <c r="O29" i="41" s="1"/>
  <c r="P29" i="41" s="1"/>
  <c r="Q29" i="41" s="1"/>
  <c r="F23" i="41"/>
  <c r="G23" i="41" s="1"/>
  <c r="H23" i="41" s="1"/>
  <c r="I23" i="41" s="1"/>
  <c r="J23" i="41" s="1"/>
  <c r="K23" i="41" s="1"/>
  <c r="L23" i="41" s="1"/>
  <c r="M23" i="41" s="1"/>
  <c r="N23" i="41" s="1"/>
  <c r="O23" i="41" s="1"/>
  <c r="P23" i="41" s="1"/>
  <c r="Q23" i="41" s="1"/>
  <c r="F22" i="41"/>
  <c r="G22" i="41" s="1"/>
  <c r="H22" i="41" s="1"/>
  <c r="I22" i="41" s="1"/>
  <c r="J22" i="41" s="1"/>
  <c r="K22" i="41" s="1"/>
  <c r="L22" i="41" s="1"/>
  <c r="M22" i="41" s="1"/>
  <c r="N22" i="41" s="1"/>
  <c r="O22" i="41" s="1"/>
  <c r="P22" i="41" s="1"/>
  <c r="Q22" i="41" s="1"/>
  <c r="F14" i="41"/>
  <c r="G14" i="41" s="1"/>
  <c r="H14" i="41" s="1"/>
  <c r="I14" i="41" s="1"/>
  <c r="J14" i="41" s="1"/>
  <c r="K14" i="41" s="1"/>
  <c r="L14" i="41" s="1"/>
  <c r="M14" i="41" s="1"/>
  <c r="N14" i="41" s="1"/>
  <c r="O14" i="41" s="1"/>
  <c r="P14" i="41" s="1"/>
  <c r="Q14" i="41" s="1"/>
  <c r="F13" i="41"/>
  <c r="G13" i="41" s="1"/>
  <c r="H13" i="41" s="1"/>
  <c r="I13" i="41" s="1"/>
  <c r="J13" i="41" s="1"/>
  <c r="K13" i="41" s="1"/>
  <c r="L13" i="41" s="1"/>
  <c r="M13" i="41" s="1"/>
  <c r="N13" i="41" s="1"/>
  <c r="O13" i="41" s="1"/>
  <c r="P13" i="41" s="1"/>
  <c r="Q13" i="41" s="1"/>
  <c r="Q6" i="41"/>
  <c r="P6" i="41"/>
  <c r="O6" i="41"/>
  <c r="N6" i="41"/>
  <c r="M6" i="41"/>
  <c r="L6" i="41"/>
  <c r="K6" i="41"/>
  <c r="J6" i="41"/>
  <c r="I6" i="41"/>
  <c r="H6" i="41"/>
  <c r="G6" i="41"/>
  <c r="F6" i="41"/>
  <c r="Q5" i="41"/>
  <c r="P5" i="41"/>
  <c r="O5" i="41"/>
  <c r="N5" i="41"/>
  <c r="M5" i="41"/>
  <c r="L5" i="41"/>
  <c r="K5" i="41"/>
  <c r="J5" i="41"/>
  <c r="I5" i="41"/>
  <c r="H5" i="41"/>
  <c r="G5" i="41"/>
  <c r="F5" i="41"/>
  <c r="G98" i="18" l="1"/>
  <c r="H98" i="18"/>
  <c r="L98" i="18"/>
  <c r="I98" i="18"/>
  <c r="J98" i="18"/>
  <c r="K98" i="18"/>
  <c r="L16" i="38" l="1"/>
  <c r="H177" i="38"/>
  <c r="E175" i="38"/>
  <c r="F175" i="38" s="1"/>
  <c r="G175" i="38" s="1"/>
  <c r="H175" i="38" s="1"/>
  <c r="M16" i="38" l="1"/>
  <c r="I175" i="38"/>
  <c r="J175" i="38" s="1"/>
  <c r="K175" i="38" s="1"/>
  <c r="L175" i="38" s="1"/>
  <c r="M175" i="38" s="1"/>
  <c r="N175" i="38" s="1"/>
  <c r="F25" i="18"/>
  <c r="F31" i="18"/>
  <c r="F17" i="18"/>
  <c r="F40" i="18" s="1"/>
  <c r="H91" i="18"/>
  <c r="I91" i="18"/>
  <c r="J91" i="18"/>
  <c r="K91" i="18"/>
  <c r="L91" i="18"/>
  <c r="G91" i="18"/>
  <c r="F91" i="18"/>
  <c r="F92" i="18"/>
  <c r="F94" i="18"/>
  <c r="F109" i="18"/>
  <c r="F124" i="18" s="1"/>
  <c r="F96" i="18"/>
  <c r="F54" i="18"/>
  <c r="F56" i="18" s="1"/>
  <c r="F65" i="18" s="1"/>
  <c r="F117" i="18" s="1"/>
  <c r="F122" i="18" s="1"/>
  <c r="F125" i="18" s="1"/>
  <c r="F83" i="18"/>
  <c r="F79" i="18"/>
  <c r="F74" i="18"/>
  <c r="F69" i="18"/>
  <c r="N16" i="38" l="1"/>
  <c r="F47" i="18"/>
  <c r="F86" i="18"/>
  <c r="F89" i="18" s="1"/>
  <c r="F26" i="18"/>
  <c r="F48" i="18"/>
  <c r="F78" i="18"/>
  <c r="F59" i="18"/>
  <c r="H93" i="38"/>
  <c r="H87" i="38"/>
  <c r="G87" i="38"/>
  <c r="H83" i="38"/>
  <c r="H80" i="38"/>
  <c r="I7" i="38"/>
  <c r="I99" i="38" s="1"/>
  <c r="J100" i="38" l="1"/>
  <c r="J102" i="38" s="1"/>
  <c r="I139" i="38"/>
  <c r="I104" i="38"/>
  <c r="I105" i="38" s="1"/>
  <c r="I132" i="38"/>
  <c r="I118" i="38"/>
  <c r="I97" i="38"/>
  <c r="I95" i="38"/>
  <c r="I96" i="38" s="1"/>
  <c r="I144" i="38"/>
  <c r="I133" i="38"/>
  <c r="I77" i="38"/>
  <c r="I63" i="38"/>
  <c r="I160" i="38"/>
  <c r="I131" i="38"/>
  <c r="I111" i="38"/>
  <c r="I107" i="38"/>
  <c r="J108" i="38" s="1"/>
  <c r="I68" i="38"/>
  <c r="J69" i="38" s="1"/>
  <c r="I121" i="38"/>
  <c r="I135" i="38"/>
  <c r="I130" i="38"/>
  <c r="I141" i="38"/>
  <c r="I110" i="38" s="1"/>
  <c r="I81" i="38"/>
  <c r="I9" i="38"/>
  <c r="F62" i="18"/>
  <c r="F27" i="18" s="1"/>
  <c r="I51" i="38" l="1"/>
  <c r="J10" i="38"/>
  <c r="J98" i="38"/>
  <c r="I145" i="38"/>
  <c r="M97" i="18"/>
  <c r="M123" i="18" s="1"/>
  <c r="K130" i="38"/>
  <c r="L130" i="38" s="1"/>
  <c r="M130" i="38" s="1"/>
  <c r="N130" i="38" s="1"/>
  <c r="O130" i="38" s="1"/>
  <c r="I155" i="38"/>
  <c r="I162" i="38"/>
  <c r="I117" i="38"/>
  <c r="I64" i="38"/>
  <c r="I65" i="38" s="1"/>
  <c r="L52" i="38"/>
  <c r="M52" i="38" s="1"/>
  <c r="N52" i="38" s="1"/>
  <c r="H7" i="38"/>
  <c r="H168" i="38" s="1"/>
  <c r="H96" i="18"/>
  <c r="I96" i="18"/>
  <c r="J96" i="18"/>
  <c r="K96" i="18"/>
  <c r="L96" i="18"/>
  <c r="G96" i="18"/>
  <c r="L94" i="18"/>
  <c r="H94" i="18"/>
  <c r="I94" i="18"/>
  <c r="J94" i="18"/>
  <c r="K94" i="18"/>
  <c r="G94" i="18"/>
  <c r="H122" i="38"/>
  <c r="I123" i="38" s="1"/>
  <c r="H142" i="38"/>
  <c r="G142" i="38"/>
  <c r="G119" i="38"/>
  <c r="H119" i="38"/>
  <c r="I120" i="38" s="1"/>
  <c r="I156" i="38" l="1"/>
  <c r="F161" i="38"/>
  <c r="C161" i="38"/>
  <c r="E161" i="38"/>
  <c r="H161" i="38"/>
  <c r="D161" i="38"/>
  <c r="G161" i="38"/>
  <c r="H148" i="38"/>
  <c r="H146" i="38" s="1"/>
  <c r="H104" i="38"/>
  <c r="H99" i="38"/>
  <c r="O97" i="18"/>
  <c r="O123" i="18" s="1"/>
  <c r="N123" i="18"/>
  <c r="H131" i="38"/>
  <c r="H90" i="38"/>
  <c r="H92" i="38" s="1"/>
  <c r="H94" i="38" s="1"/>
  <c r="H133" i="38"/>
  <c r="H132" i="38"/>
  <c r="H95" i="38"/>
  <c r="H144" i="38"/>
  <c r="H141" i="38"/>
  <c r="H143" i="38" s="1"/>
  <c r="H160" i="38"/>
  <c r="H84" i="38"/>
  <c r="H81" i="38"/>
  <c r="H85" i="38"/>
  <c r="H88" i="38" s="1"/>
  <c r="H77" i="38"/>
  <c r="H107" i="38"/>
  <c r="I108" i="38" s="1"/>
  <c r="H118" i="38"/>
  <c r="H135" i="38"/>
  <c r="H97" i="38"/>
  <c r="H111" i="38"/>
  <c r="H130" i="38"/>
  <c r="H139" i="38"/>
  <c r="H121" i="38"/>
  <c r="G78" i="38"/>
  <c r="H70" i="38"/>
  <c r="H75" i="38"/>
  <c r="G75" i="38"/>
  <c r="G72" i="38"/>
  <c r="G71" i="38" s="1"/>
  <c r="G73" i="38" s="1"/>
  <c r="H68" i="38"/>
  <c r="I69" i="38" s="1"/>
  <c r="H67" i="38"/>
  <c r="H63" i="38"/>
  <c r="G67" i="38"/>
  <c r="H9" i="38"/>
  <c r="I52" i="38" s="1"/>
  <c r="H56" i="38"/>
  <c r="H15" i="38"/>
  <c r="H29" i="38"/>
  <c r="H25" i="38"/>
  <c r="H21" i="38"/>
  <c r="H96" i="38" l="1"/>
  <c r="I100" i="38"/>
  <c r="I102" i="38" s="1"/>
  <c r="I98" i="38"/>
  <c r="H105" i="38"/>
  <c r="H20" i="38"/>
  <c r="H51" i="38" s="1"/>
  <c r="L97" i="18"/>
  <c r="H64" i="38"/>
  <c r="H65" i="38" s="1"/>
  <c r="M160" i="38"/>
  <c r="P97" i="18"/>
  <c r="P123" i="18" s="1"/>
  <c r="H120" i="38"/>
  <c r="H117" i="38"/>
  <c r="H179" i="38"/>
  <c r="I10" i="38"/>
  <c r="H76" i="38"/>
  <c r="H145" i="38"/>
  <c r="H156" i="38"/>
  <c r="Q97" i="18" l="1"/>
  <c r="Q123" i="18" s="1"/>
  <c r="N160" i="38"/>
  <c r="O160" i="38" s="1"/>
  <c r="R97" i="18" l="1"/>
  <c r="R123" i="18" s="1"/>
  <c r="H8" i="38"/>
  <c r="L98" i="38"/>
  <c r="M98" i="38" s="1"/>
  <c r="N98" i="38" s="1"/>
  <c r="H43" i="38"/>
  <c r="H41" i="38" s="1"/>
  <c r="H50" i="38" s="1"/>
  <c r="H46" i="38"/>
  <c r="H45" i="38" s="1"/>
  <c r="H49" i="38" s="1"/>
  <c r="M28" i="38" l="1"/>
  <c r="M31" i="38"/>
  <c r="P31" i="38" s="1"/>
  <c r="L28" i="38"/>
  <c r="L36" i="38" s="1"/>
  <c r="L32" i="38" s="1"/>
  <c r="L31" i="38"/>
  <c r="J21" i="38"/>
  <c r="H127" i="38"/>
  <c r="H126" i="38"/>
  <c r="H128" i="38"/>
  <c r="Q68" i="18"/>
  <c r="P68" i="18"/>
  <c r="Q51" i="18"/>
  <c r="P51" i="18"/>
  <c r="Q31" i="18"/>
  <c r="P31" i="18"/>
  <c r="Q25" i="18"/>
  <c r="P25" i="18"/>
  <c r="M108" i="38"/>
  <c r="L108" i="38"/>
  <c r="K1" i="38"/>
  <c r="L1" i="38" s="1"/>
  <c r="M1" i="38" s="1"/>
  <c r="N1" i="38" s="1"/>
  <c r="O1" i="38" s="1"/>
  <c r="M36" i="38" l="1"/>
  <c r="M32" i="38" s="1"/>
  <c r="P28" i="38"/>
  <c r="P29" i="38" s="1"/>
  <c r="N31" i="38"/>
  <c r="N28" i="38"/>
  <c r="N43" i="38"/>
  <c r="N36" i="38" l="1"/>
  <c r="N32" i="38" s="1"/>
  <c r="N25" i="38"/>
  <c r="H6" i="38"/>
  <c r="G147" i="38" l="1"/>
  <c r="G146" i="38" s="1"/>
  <c r="L123" i="18" l="1"/>
  <c r="F87" i="38"/>
  <c r="G83" i="38"/>
  <c r="F83" i="38"/>
  <c r="G80" i="38"/>
  <c r="F80" i="38"/>
  <c r="F67" i="38"/>
  <c r="F72" i="38"/>
  <c r="F71" i="38" s="1"/>
  <c r="F73" i="38" s="1"/>
  <c r="E72" i="38"/>
  <c r="E71" i="38" s="1"/>
  <c r="F75" i="38"/>
  <c r="D72" i="38"/>
  <c r="G27" i="38"/>
  <c r="F27" i="38"/>
  <c r="F13" i="38" s="1"/>
  <c r="F11" i="38" s="1"/>
  <c r="G15" i="38"/>
  <c r="J155" i="38" l="1"/>
  <c r="G25" i="38"/>
  <c r="G13" i="38"/>
  <c r="G11" i="38" s="1"/>
  <c r="K155" i="38"/>
  <c r="G6" i="38"/>
  <c r="G12" i="38" l="1"/>
  <c r="H12" i="38"/>
  <c r="L155" i="38"/>
  <c r="G168" i="38"/>
  <c r="M155" i="38" l="1"/>
  <c r="G170" i="38"/>
  <c r="M144" i="38" l="1"/>
  <c r="N155" i="38"/>
  <c r="P110" i="18"/>
  <c r="P121" i="18" s="1"/>
  <c r="L144" i="38"/>
  <c r="Q110" i="18"/>
  <c r="Q121" i="18" s="1"/>
  <c r="K108" i="38"/>
  <c r="Q109" i="18" l="1"/>
  <c r="Q124" i="18" s="1"/>
  <c r="P109" i="18"/>
  <c r="P124" i="18" s="1"/>
  <c r="R110" i="18"/>
  <c r="R121" i="18" s="1"/>
  <c r="N144" i="38"/>
  <c r="G92" i="18"/>
  <c r="H20" i="18"/>
  <c r="H127" i="18" s="1"/>
  <c r="I20" i="18"/>
  <c r="I127" i="18" s="1"/>
  <c r="J20" i="18"/>
  <c r="G20" i="18"/>
  <c r="B6" i="18"/>
  <c r="N17" i="18" s="1"/>
  <c r="O17" i="18" s="1"/>
  <c r="P17" i="18" s="1"/>
  <c r="Y130" i="38"/>
  <c r="AA128" i="38"/>
  <c r="AA130" i="38" s="1"/>
  <c r="Z127" i="38"/>
  <c r="F127" i="38"/>
  <c r="E87" i="38"/>
  <c r="D87" i="38"/>
  <c r="C87" i="38"/>
  <c r="E83" i="38"/>
  <c r="D83" i="38"/>
  <c r="C83" i="38"/>
  <c r="E80" i="38"/>
  <c r="D80" i="38"/>
  <c r="C80" i="38"/>
  <c r="F78" i="38"/>
  <c r="E78" i="38"/>
  <c r="D78" i="38"/>
  <c r="C78" i="38"/>
  <c r="E75" i="38"/>
  <c r="D75" i="38"/>
  <c r="C75" i="38"/>
  <c r="E73" i="38"/>
  <c r="D71" i="38"/>
  <c r="D73" i="38" s="1"/>
  <c r="C72" i="38"/>
  <c r="C71" i="38" s="1"/>
  <c r="C73" i="38" s="1"/>
  <c r="E67" i="38"/>
  <c r="D67" i="38"/>
  <c r="F56" i="38"/>
  <c r="F46" i="38"/>
  <c r="F45" i="38" s="1"/>
  <c r="F49" i="38" s="1"/>
  <c r="E46" i="38"/>
  <c r="E45" i="38" s="1"/>
  <c r="E49" i="38" s="1"/>
  <c r="D46" i="38"/>
  <c r="D45" i="38" s="1"/>
  <c r="D49" i="38" s="1"/>
  <c r="C46" i="38"/>
  <c r="C45" i="38" s="1"/>
  <c r="C49" i="38" s="1"/>
  <c r="F43" i="38"/>
  <c r="F41" i="38" s="1"/>
  <c r="F50" i="38" s="1"/>
  <c r="E43" i="38"/>
  <c r="E41" i="38" s="1"/>
  <c r="E50" i="38" s="1"/>
  <c r="D43" i="38"/>
  <c r="D41" i="38" s="1"/>
  <c r="D50" i="38" s="1"/>
  <c r="C43" i="38"/>
  <c r="C41" i="38" s="1"/>
  <c r="C50" i="38" s="1"/>
  <c r="F29" i="38"/>
  <c r="E29" i="38"/>
  <c r="D29" i="38"/>
  <c r="C29" i="38"/>
  <c r="F25" i="38"/>
  <c r="E27" i="38"/>
  <c r="D27" i="38"/>
  <c r="C27" i="38"/>
  <c r="F21" i="38"/>
  <c r="F20" i="38" s="1"/>
  <c r="E21" i="38"/>
  <c r="D21" i="38"/>
  <c r="C21" i="38"/>
  <c r="F15" i="38"/>
  <c r="E15" i="38"/>
  <c r="D15" i="38"/>
  <c r="C15" i="38"/>
  <c r="G8" i="38"/>
  <c r="F8" i="38"/>
  <c r="E8" i="38"/>
  <c r="D8" i="38"/>
  <c r="C8" i="38"/>
  <c r="G7" i="38"/>
  <c r="G104" i="38" s="1"/>
  <c r="F7" i="38"/>
  <c r="E7" i="38"/>
  <c r="D7" i="38"/>
  <c r="C7" i="38"/>
  <c r="L6" i="38"/>
  <c r="G5" i="38"/>
  <c r="F2" i="38"/>
  <c r="G167" i="38" l="1"/>
  <c r="L22" i="38"/>
  <c r="R109" i="18"/>
  <c r="R124" i="18" s="1"/>
  <c r="C160" i="38"/>
  <c r="C104" i="38"/>
  <c r="C99" i="38"/>
  <c r="F63" i="38"/>
  <c r="F64" i="38" s="1"/>
  <c r="F65" i="38" s="1"/>
  <c r="F104" i="38"/>
  <c r="F99" i="38"/>
  <c r="D160" i="38"/>
  <c r="D99" i="38"/>
  <c r="D100" i="38" s="1"/>
  <c r="D104" i="38"/>
  <c r="E160" i="38"/>
  <c r="E104" i="38"/>
  <c r="E99" i="38"/>
  <c r="G99" i="38"/>
  <c r="C25" i="38"/>
  <c r="C20" i="38" s="1"/>
  <c r="C13" i="38"/>
  <c r="C11" i="38" s="1"/>
  <c r="D25" i="38"/>
  <c r="D20" i="38" s="1"/>
  <c r="D13" i="38"/>
  <c r="D11" i="38" s="1"/>
  <c r="E25" i="38"/>
  <c r="E20" i="38" s="1"/>
  <c r="E13" i="38"/>
  <c r="E11" i="38" s="1"/>
  <c r="B8" i="18"/>
  <c r="J127" i="18"/>
  <c r="F20" i="18"/>
  <c r="G127" i="18"/>
  <c r="J83" i="38"/>
  <c r="K83" i="38" s="1"/>
  <c r="L83" i="38" s="1"/>
  <c r="M83" i="38" s="1"/>
  <c r="N83" i="38" s="1"/>
  <c r="J75" i="38"/>
  <c r="K75" i="38" s="1"/>
  <c r="L75" i="38" s="1"/>
  <c r="M75" i="38" s="1"/>
  <c r="N75" i="38" s="1"/>
  <c r="G144" i="38"/>
  <c r="G81" i="38"/>
  <c r="G84" i="38"/>
  <c r="G132" i="38"/>
  <c r="G139" i="38"/>
  <c r="G121" i="38"/>
  <c r="G9" i="38"/>
  <c r="H52" i="38" s="1"/>
  <c r="G63" i="38"/>
  <c r="K124" i="38"/>
  <c r="L124" i="38" s="1"/>
  <c r="M124" i="38" s="1"/>
  <c r="N124" i="38" s="1"/>
  <c r="M6" i="38"/>
  <c r="N6" i="38" s="1"/>
  <c r="Q17" i="18"/>
  <c r="R17" i="18" s="1"/>
  <c r="F6" i="38"/>
  <c r="F4" i="38" s="1"/>
  <c r="F165" i="38" s="1"/>
  <c r="K20" i="18"/>
  <c r="K127" i="18" s="1"/>
  <c r="L110" i="18"/>
  <c r="L121" i="18" s="1"/>
  <c r="G160" i="38"/>
  <c r="G135" i="38"/>
  <c r="G133" i="38"/>
  <c r="G131" i="38"/>
  <c r="D97" i="38"/>
  <c r="D135" i="38"/>
  <c r="H60" i="18" s="1"/>
  <c r="H119" i="18" s="1"/>
  <c r="G127" i="38"/>
  <c r="G122" i="38"/>
  <c r="G128" i="38"/>
  <c r="G126" i="38"/>
  <c r="Z130" i="38"/>
  <c r="AA131" i="38" s="1"/>
  <c r="AB127" i="38"/>
  <c r="E81" i="38"/>
  <c r="E135" i="38"/>
  <c r="I60" i="18" s="1"/>
  <c r="I119" i="18" s="1"/>
  <c r="F135" i="38"/>
  <c r="J60" i="18" s="1"/>
  <c r="J119" i="18" s="1"/>
  <c r="F160" i="38"/>
  <c r="G130" i="38"/>
  <c r="G118" i="38"/>
  <c r="K17" i="38"/>
  <c r="L17" i="38" s="1"/>
  <c r="F70" i="38"/>
  <c r="F76" i="38" s="1"/>
  <c r="F81" i="38"/>
  <c r="G111" i="38"/>
  <c r="G97" i="38"/>
  <c r="G90" i="38"/>
  <c r="G92" i="38" s="1"/>
  <c r="G94" i="38" s="1"/>
  <c r="G77" i="38"/>
  <c r="G70" i="38"/>
  <c r="G141" i="38"/>
  <c r="G107" i="38"/>
  <c r="G95" i="38"/>
  <c r="G96" i="38" s="1"/>
  <c r="G85" i="38"/>
  <c r="G88" i="38" s="1"/>
  <c r="G68" i="38"/>
  <c r="F130" i="38"/>
  <c r="D6" i="38"/>
  <c r="D4" i="38" s="1"/>
  <c r="D165" i="38" s="1"/>
  <c r="F139" i="38"/>
  <c r="D144" i="38"/>
  <c r="E128" i="38"/>
  <c r="F131" i="38"/>
  <c r="F68" i="38"/>
  <c r="G29" i="38"/>
  <c r="G43" i="38"/>
  <c r="G41" i="38" s="1"/>
  <c r="G50" i="38" s="1"/>
  <c r="D107" i="38"/>
  <c r="D70" i="38"/>
  <c r="D76" i="38" s="1"/>
  <c r="D9" i="38"/>
  <c r="H52" i="18" s="1"/>
  <c r="C128" i="38"/>
  <c r="C122" i="38"/>
  <c r="G21" i="38"/>
  <c r="D95" i="38"/>
  <c r="D96" i="38" s="1"/>
  <c r="D121" i="38"/>
  <c r="E9" i="38"/>
  <c r="F84" i="38"/>
  <c r="F107" i="38"/>
  <c r="F168" i="38"/>
  <c r="F128" i="38"/>
  <c r="F122" i="38"/>
  <c r="F142" i="38"/>
  <c r="F119" i="38"/>
  <c r="F126" i="38"/>
  <c r="F125" i="38" s="1"/>
  <c r="E56" i="38"/>
  <c r="G4" i="38"/>
  <c r="G165" i="38" s="1"/>
  <c r="H5" i="38"/>
  <c r="C144" i="38"/>
  <c r="C139" i="38"/>
  <c r="C133" i="38"/>
  <c r="G60" i="18" s="1"/>
  <c r="G119" i="18" s="1"/>
  <c r="C131" i="38"/>
  <c r="C107" i="38"/>
  <c r="C84" i="38"/>
  <c r="C68" i="38"/>
  <c r="C63" i="38"/>
  <c r="C121" i="38"/>
  <c r="C97" i="38"/>
  <c r="C95" i="38"/>
  <c r="C70" i="38"/>
  <c r="C76" i="38" s="1"/>
  <c r="C141" i="38"/>
  <c r="C130" i="38"/>
  <c r="C85" i="38"/>
  <c r="C132" i="38"/>
  <c r="C90" i="38"/>
  <c r="C92" i="38" s="1"/>
  <c r="C94" i="38" s="1"/>
  <c r="C81" i="38"/>
  <c r="C77" i="38"/>
  <c r="C56" i="38"/>
  <c r="C6" i="38"/>
  <c r="C4" i="38" s="1"/>
  <c r="C165" i="38" s="1"/>
  <c r="C118" i="38"/>
  <c r="C111" i="38"/>
  <c r="D168" i="38"/>
  <c r="E144" i="38"/>
  <c r="E139" i="38"/>
  <c r="E133" i="38"/>
  <c r="E131" i="38"/>
  <c r="E130" i="38"/>
  <c r="E141" i="38"/>
  <c r="E121" i="38"/>
  <c r="E97" i="38"/>
  <c r="E95" i="38"/>
  <c r="E96" i="38" s="1"/>
  <c r="E70" i="38"/>
  <c r="E76" i="38" s="1"/>
  <c r="E132" i="38"/>
  <c r="E107" i="38"/>
  <c r="E84" i="38"/>
  <c r="E68" i="38"/>
  <c r="E63" i="38"/>
  <c r="E6" i="38"/>
  <c r="E4" i="38" s="1"/>
  <c r="E165" i="38" s="1"/>
  <c r="E90" i="38"/>
  <c r="E92" i="38" s="1"/>
  <c r="E94" i="38" s="1"/>
  <c r="E118" i="38"/>
  <c r="E111" i="38"/>
  <c r="E85" i="38"/>
  <c r="D142" i="38"/>
  <c r="D128" i="38"/>
  <c r="D122" i="38"/>
  <c r="D126" i="38"/>
  <c r="D119" i="38"/>
  <c r="C9" i="38"/>
  <c r="G52" i="18" s="1"/>
  <c r="G43" i="18" s="1"/>
  <c r="G46" i="38"/>
  <c r="G45" i="38" s="1"/>
  <c r="G49" i="38" s="1"/>
  <c r="J43" i="38"/>
  <c r="E77" i="38"/>
  <c r="F132" i="38"/>
  <c r="F141" i="38"/>
  <c r="F155" i="38" s="1"/>
  <c r="F90" i="38"/>
  <c r="F92" i="38" s="1"/>
  <c r="F94" i="38" s="1"/>
  <c r="F85" i="38"/>
  <c r="F77" i="38"/>
  <c r="F144" i="38"/>
  <c r="F118" i="38"/>
  <c r="F111" i="38"/>
  <c r="E142" i="38"/>
  <c r="E126" i="38"/>
  <c r="E119" i="38"/>
  <c r="F97" i="38"/>
  <c r="F133" i="38"/>
  <c r="C168" i="38"/>
  <c r="D141" i="38"/>
  <c r="D132" i="38"/>
  <c r="D131" i="38"/>
  <c r="D118" i="38"/>
  <c r="D111" i="38"/>
  <c r="D139" i="38"/>
  <c r="D133" i="38"/>
  <c r="D130" i="38"/>
  <c r="D90" i="38"/>
  <c r="D92" i="38" s="1"/>
  <c r="D94" i="38" s="1"/>
  <c r="D85" i="38"/>
  <c r="D81" i="38"/>
  <c r="D77" i="38"/>
  <c r="D56" i="38"/>
  <c r="C142" i="38"/>
  <c r="C119" i="38"/>
  <c r="C126" i="38"/>
  <c r="F9" i="38"/>
  <c r="D63" i="38"/>
  <c r="D68" i="38"/>
  <c r="D84" i="38"/>
  <c r="F95" i="38"/>
  <c r="F96" i="38" s="1"/>
  <c r="F121" i="38"/>
  <c r="E122" i="38"/>
  <c r="E127" i="38"/>
  <c r="E168" i="38"/>
  <c r="M25" i="18"/>
  <c r="N25" i="18"/>
  <c r="O25" i="18"/>
  <c r="M31" i="18"/>
  <c r="N31" i="18"/>
  <c r="O31" i="18"/>
  <c r="M51" i="18"/>
  <c r="N51" i="18"/>
  <c r="O51" i="18"/>
  <c r="M68" i="18"/>
  <c r="N68" i="18"/>
  <c r="O68" i="18"/>
  <c r="C96" i="38" l="1"/>
  <c r="F100" i="38"/>
  <c r="C105" i="38"/>
  <c r="F105" i="38"/>
  <c r="G105" i="38"/>
  <c r="F98" i="38"/>
  <c r="G98" i="38"/>
  <c r="H98" i="38"/>
  <c r="G100" i="38"/>
  <c r="H100" i="38"/>
  <c r="D105" i="38"/>
  <c r="D98" i="38"/>
  <c r="E100" i="38"/>
  <c r="E102" i="38" s="1"/>
  <c r="E98" i="38"/>
  <c r="E105" i="38"/>
  <c r="G20" i="38"/>
  <c r="M22" i="38"/>
  <c r="K109" i="18"/>
  <c r="H97" i="18"/>
  <c r="H123" i="18" s="1"/>
  <c r="I109" i="18"/>
  <c r="G108" i="18"/>
  <c r="G109" i="18"/>
  <c r="K97" i="18"/>
  <c r="K123" i="18" s="1"/>
  <c r="I97" i="18"/>
  <c r="I123" i="18" s="1"/>
  <c r="J109" i="18"/>
  <c r="F167" i="38"/>
  <c r="H108" i="18"/>
  <c r="J97" i="18"/>
  <c r="J123" i="18" s="1"/>
  <c r="I108" i="18"/>
  <c r="H109" i="18"/>
  <c r="G97" i="18"/>
  <c r="G123" i="18" s="1"/>
  <c r="D12" i="38"/>
  <c r="H167" i="38"/>
  <c r="I5" i="38"/>
  <c r="L20" i="18"/>
  <c r="L127" i="18" s="1"/>
  <c r="D102" i="38"/>
  <c r="G102" i="38"/>
  <c r="H102" i="38"/>
  <c r="F102" i="38"/>
  <c r="E64" i="38"/>
  <c r="E65" i="38" s="1"/>
  <c r="E12" i="38"/>
  <c r="F12" i="38"/>
  <c r="AB128" i="38"/>
  <c r="AB133" i="38"/>
  <c r="G156" i="38"/>
  <c r="G179" i="38"/>
  <c r="D88" i="38"/>
  <c r="C88" i="38"/>
  <c r="F88" i="38"/>
  <c r="G89" i="38" s="1"/>
  <c r="E88" i="38"/>
  <c r="G64" i="38"/>
  <c r="G65" i="38" s="1"/>
  <c r="F127" i="18"/>
  <c r="F130" i="18" s="1"/>
  <c r="F126" i="18"/>
  <c r="F22" i="18"/>
  <c r="F23" i="18" s="1"/>
  <c r="F37" i="18" s="1"/>
  <c r="F32" i="18"/>
  <c r="F38" i="18" s="1"/>
  <c r="Z131" i="38"/>
  <c r="L80" i="38"/>
  <c r="M80" i="38" s="1"/>
  <c r="N80" i="38" s="1"/>
  <c r="H170" i="38"/>
  <c r="G117" i="38"/>
  <c r="G123" i="38"/>
  <c r="G108" i="38"/>
  <c r="H108" i="38"/>
  <c r="G69" i="38"/>
  <c r="H69" i="38"/>
  <c r="G143" i="38"/>
  <c r="K60" i="18"/>
  <c r="K119" i="18" s="1"/>
  <c r="H89" i="38"/>
  <c r="J76" i="38"/>
  <c r="G76" i="38"/>
  <c r="H123" i="38"/>
  <c r="G10" i="38"/>
  <c r="M17" i="38"/>
  <c r="N17" i="38" s="1"/>
  <c r="L43" i="38"/>
  <c r="L109" i="18"/>
  <c r="L124" i="18" s="1"/>
  <c r="N110" i="18"/>
  <c r="N121" i="18" s="1"/>
  <c r="O110" i="18"/>
  <c r="O121" i="18" s="1"/>
  <c r="M110" i="18"/>
  <c r="M121" i="18" s="1"/>
  <c r="M109" i="18"/>
  <c r="G34" i="18"/>
  <c r="H105" i="18" s="1"/>
  <c r="C167" i="38"/>
  <c r="F120" i="38"/>
  <c r="I34" i="18"/>
  <c r="J105" i="18" s="1"/>
  <c r="E167" i="38"/>
  <c r="H34" i="18"/>
  <c r="I105" i="18" s="1"/>
  <c r="D167" i="38"/>
  <c r="K110" i="18"/>
  <c r="K121" i="18" s="1"/>
  <c r="J61" i="18"/>
  <c r="J120" i="18" s="1"/>
  <c r="G125" i="38"/>
  <c r="G129" i="38" s="1"/>
  <c r="F69" i="38"/>
  <c r="I61" i="18"/>
  <c r="I120" i="18" s="1"/>
  <c r="J108" i="18"/>
  <c r="F123" i="38"/>
  <c r="H61" i="18"/>
  <c r="H120" i="18" s="1"/>
  <c r="R144" i="38"/>
  <c r="Q155" i="38" s="1"/>
  <c r="Q164" i="38" s="1"/>
  <c r="G61" i="18"/>
  <c r="G120" i="18" s="1"/>
  <c r="G120" i="38"/>
  <c r="J52" i="18"/>
  <c r="F51" i="38"/>
  <c r="F52" i="38" s="1"/>
  <c r="E69" i="38"/>
  <c r="D69" i="38"/>
  <c r="J57" i="18"/>
  <c r="D108" i="38"/>
  <c r="J34" i="18"/>
  <c r="K105" i="18" s="1"/>
  <c r="F170" i="38"/>
  <c r="K57" i="18"/>
  <c r="C125" i="38"/>
  <c r="F108" i="38"/>
  <c r="E51" i="38"/>
  <c r="E52" i="38" s="1"/>
  <c r="C162" i="38"/>
  <c r="H57" i="18"/>
  <c r="E162" i="38"/>
  <c r="D51" i="38"/>
  <c r="D52" i="38" s="1"/>
  <c r="D10" i="38"/>
  <c r="I107" i="18"/>
  <c r="I58" i="18"/>
  <c r="I118" i="18" s="1"/>
  <c r="D145" i="38"/>
  <c r="G57" i="18"/>
  <c r="E10" i="38"/>
  <c r="I52" i="18"/>
  <c r="H58" i="18"/>
  <c r="H118" i="18" s="1"/>
  <c r="H107" i="18"/>
  <c r="E125" i="38"/>
  <c r="J107" i="18"/>
  <c r="J58" i="18"/>
  <c r="J118" i="18" s="1"/>
  <c r="D125" i="38"/>
  <c r="E108" i="38"/>
  <c r="I57" i="18"/>
  <c r="G107" i="18"/>
  <c r="G58" i="18"/>
  <c r="G118" i="18" s="1"/>
  <c r="D120" i="38"/>
  <c r="D117" i="38"/>
  <c r="C170" i="38"/>
  <c r="K43" i="38"/>
  <c r="E145" i="38"/>
  <c r="C155" i="38"/>
  <c r="C143" i="38"/>
  <c r="C110" i="38"/>
  <c r="G64" i="18" s="1"/>
  <c r="C145" i="38"/>
  <c r="J29" i="38"/>
  <c r="J20" i="38" s="1"/>
  <c r="J51" i="38" s="1"/>
  <c r="J52" i="38" s="1"/>
  <c r="K144" i="38"/>
  <c r="E170" i="38"/>
  <c r="D64" i="38"/>
  <c r="D65" i="38" s="1"/>
  <c r="D123" i="38"/>
  <c r="I85" i="38"/>
  <c r="F143" i="38"/>
  <c r="F110" i="38"/>
  <c r="F61" i="38" s="1"/>
  <c r="D162" i="38"/>
  <c r="D170" i="38"/>
  <c r="C64" i="38"/>
  <c r="C65" i="38" s="1"/>
  <c r="F162" i="38"/>
  <c r="F117" i="38"/>
  <c r="K42" i="38"/>
  <c r="L42" i="38" s="1"/>
  <c r="M42" i="38" s="1"/>
  <c r="N42" i="38" s="1"/>
  <c r="J84" i="38"/>
  <c r="E123" i="38"/>
  <c r="C117" i="38"/>
  <c r="H4" i="38"/>
  <c r="H165" i="38" s="1"/>
  <c r="F10" i="38"/>
  <c r="D143" i="38"/>
  <c r="D155" i="38"/>
  <c r="D110" i="38"/>
  <c r="D61" i="38" s="1"/>
  <c r="F145" i="38"/>
  <c r="C51" i="38"/>
  <c r="C52" i="38" s="1"/>
  <c r="E117" i="38"/>
  <c r="E120" i="38"/>
  <c r="E155" i="38"/>
  <c r="E110" i="38"/>
  <c r="E61" i="38" s="1"/>
  <c r="E143" i="38"/>
  <c r="F129" i="38"/>
  <c r="N22" i="38" l="1"/>
  <c r="O109" i="18"/>
  <c r="O124" i="18" s="1"/>
  <c r="N109" i="18"/>
  <c r="N124" i="18" s="1"/>
  <c r="I110" i="18"/>
  <c r="I121" i="18" s="1"/>
  <c r="G110" i="18"/>
  <c r="G121" i="18" s="1"/>
  <c r="H110" i="18"/>
  <c r="H121" i="18" s="1"/>
  <c r="M20" i="18"/>
  <c r="M127" i="18" s="1"/>
  <c r="L48" i="38"/>
  <c r="C61" i="38"/>
  <c r="C112" i="38" s="1"/>
  <c r="C113" i="38" s="1"/>
  <c r="L47" i="38"/>
  <c r="L59" i="38" s="1"/>
  <c r="K59" i="38"/>
  <c r="E89" i="38"/>
  <c r="D89" i="38"/>
  <c r="F89" i="38"/>
  <c r="M124" i="18"/>
  <c r="K124" i="18"/>
  <c r="M43" i="38"/>
  <c r="J110" i="18"/>
  <c r="F156" i="38"/>
  <c r="K84" i="38"/>
  <c r="L84" i="38" s="1"/>
  <c r="M84" i="38" s="1"/>
  <c r="N84" i="38" s="1"/>
  <c r="C129" i="38"/>
  <c r="K120" i="38"/>
  <c r="L120" i="38" s="1"/>
  <c r="M120" i="38" s="1"/>
  <c r="N120" i="38" s="1"/>
  <c r="O120" i="38" s="1"/>
  <c r="G110" i="38"/>
  <c r="G61" i="38" s="1"/>
  <c r="F146" i="38"/>
  <c r="H125" i="38"/>
  <c r="I53" i="18"/>
  <c r="I64" i="18"/>
  <c r="H53" i="18"/>
  <c r="H64" i="18"/>
  <c r="J53" i="18"/>
  <c r="J64" i="18"/>
  <c r="E129" i="38"/>
  <c r="D129" i="38"/>
  <c r="K108" i="18"/>
  <c r="C156" i="38"/>
  <c r="K81" i="38"/>
  <c r="G56" i="38"/>
  <c r="I70" i="38"/>
  <c r="C146" i="38"/>
  <c r="E156" i="38"/>
  <c r="D156" i="38"/>
  <c r="D146" i="38"/>
  <c r="E146" i="38"/>
  <c r="K76" i="38"/>
  <c r="I4" i="38"/>
  <c r="I165" i="38" s="1"/>
  <c r="H92" i="18"/>
  <c r="H104" i="18" s="1"/>
  <c r="P5" i="38" l="1"/>
  <c r="H124" i="18"/>
  <c r="G124" i="18"/>
  <c r="I124" i="18"/>
  <c r="N20" i="18"/>
  <c r="N127" i="18" s="1"/>
  <c r="M48" i="38"/>
  <c r="K23" i="38"/>
  <c r="L76" i="38"/>
  <c r="M47" i="38"/>
  <c r="M59" i="38" s="1"/>
  <c r="L30" i="38"/>
  <c r="L81" i="38"/>
  <c r="R11" i="38"/>
  <c r="J121" i="18"/>
  <c r="J124" i="18"/>
  <c r="G51" i="38"/>
  <c r="G52" i="38" s="1"/>
  <c r="I90" i="38"/>
  <c r="H129" i="38"/>
  <c r="K109" i="38"/>
  <c r="L106" i="38"/>
  <c r="G53" i="18"/>
  <c r="C137" i="38"/>
  <c r="C134" i="38"/>
  <c r="K64" i="18"/>
  <c r="G112" i="38"/>
  <c r="G113" i="38" s="1"/>
  <c r="K52" i="18"/>
  <c r="D62" i="38"/>
  <c r="H110" i="38"/>
  <c r="H61" i="38" s="1"/>
  <c r="C114" i="38"/>
  <c r="D112" i="38"/>
  <c r="D113" i="38" s="1"/>
  <c r="F112" i="38"/>
  <c r="F113" i="38" s="1"/>
  <c r="F62" i="38"/>
  <c r="E112" i="38"/>
  <c r="E113" i="38" s="1"/>
  <c r="E62" i="38"/>
  <c r="K58" i="18"/>
  <c r="K118" i="18" s="1"/>
  <c r="K107" i="18"/>
  <c r="K29" i="38"/>
  <c r="J82" i="38"/>
  <c r="J70" i="38"/>
  <c r="K39" i="38"/>
  <c r="L39" i="38" s="1"/>
  <c r="L108" i="18"/>
  <c r="J85" i="38"/>
  <c r="J4" i="38"/>
  <c r="J165" i="38" s="1"/>
  <c r="K5" i="38"/>
  <c r="K64" i="38"/>
  <c r="M22" i="18"/>
  <c r="I92" i="18"/>
  <c r="K21" i="38" l="1"/>
  <c r="L27" i="38"/>
  <c r="L26" i="38"/>
  <c r="K25" i="38"/>
  <c r="L5" i="38"/>
  <c r="L29" i="38"/>
  <c r="M30" i="38"/>
  <c r="M27" i="38" s="1"/>
  <c r="N47" i="38"/>
  <c r="N59" i="38" s="1"/>
  <c r="N48" i="38"/>
  <c r="N90" i="38" s="1"/>
  <c r="K58" i="38"/>
  <c r="K13" i="38" s="1"/>
  <c r="I61" i="38"/>
  <c r="I112" i="38" s="1"/>
  <c r="L23" i="38"/>
  <c r="L21" i="38" s="1"/>
  <c r="M76" i="38"/>
  <c r="L38" i="38"/>
  <c r="M81" i="38"/>
  <c r="J90" i="38"/>
  <c r="C138" i="38"/>
  <c r="G62" i="18" s="1"/>
  <c r="G45" i="18" s="1"/>
  <c r="C140" i="38"/>
  <c r="G134" i="38"/>
  <c r="G136" i="38"/>
  <c r="K85" i="38"/>
  <c r="L65" i="38"/>
  <c r="L82" i="38"/>
  <c r="M39" i="38"/>
  <c r="N39" i="38" s="1"/>
  <c r="L70" i="38"/>
  <c r="K90" i="38"/>
  <c r="M106" i="38"/>
  <c r="L109" i="38"/>
  <c r="C169" i="38"/>
  <c r="F137" i="38"/>
  <c r="F140" i="38" s="1"/>
  <c r="F134" i="38"/>
  <c r="F136" i="38"/>
  <c r="G137" i="38"/>
  <c r="G140" i="38" s="1"/>
  <c r="D137" i="38"/>
  <c r="D134" i="38"/>
  <c r="D136" i="38"/>
  <c r="F114" i="38"/>
  <c r="F115" i="38" s="1"/>
  <c r="E137" i="38"/>
  <c r="E134" i="38"/>
  <c r="E136" i="38"/>
  <c r="C115" i="38"/>
  <c r="K4" i="38"/>
  <c r="K165" i="38" s="1"/>
  <c r="O20" i="18"/>
  <c r="O127" i="18" s="1"/>
  <c r="L57" i="18"/>
  <c r="I104" i="18"/>
  <c r="C163" i="38"/>
  <c r="G145" i="38"/>
  <c r="D114" i="38"/>
  <c r="E114" i="38"/>
  <c r="L64" i="18"/>
  <c r="K82" i="38"/>
  <c r="K70" i="38"/>
  <c r="K79" i="38"/>
  <c r="K77" i="38" s="1"/>
  <c r="M57" i="18"/>
  <c r="J78" i="38"/>
  <c r="N22" i="18"/>
  <c r="M26" i="38" l="1"/>
  <c r="L18" i="38"/>
  <c r="L25" i="38"/>
  <c r="L20" i="38" s="1"/>
  <c r="P20" i="18"/>
  <c r="P127" i="18" s="1"/>
  <c r="K20" i="38"/>
  <c r="M25" i="38"/>
  <c r="M5" i="38"/>
  <c r="M4" i="38" s="1"/>
  <c r="M165" i="38" s="1"/>
  <c r="L58" i="38"/>
  <c r="M38" i="38"/>
  <c r="L4" i="38"/>
  <c r="L165" i="38" s="1"/>
  <c r="N76" i="38"/>
  <c r="N70" i="38" s="1"/>
  <c r="K11" i="38"/>
  <c r="I114" i="38"/>
  <c r="I136" i="38"/>
  <c r="I137" i="38"/>
  <c r="I169" i="38" s="1"/>
  <c r="I134" i="38"/>
  <c r="M23" i="38"/>
  <c r="M21" i="38" s="1"/>
  <c r="L79" i="38"/>
  <c r="L77" i="38" s="1"/>
  <c r="M29" i="38"/>
  <c r="N30" i="38"/>
  <c r="N81" i="38"/>
  <c r="O81" i="38" s="1"/>
  <c r="O77" i="38" s="1"/>
  <c r="M65" i="38"/>
  <c r="M64" i="38" s="1"/>
  <c r="L64" i="38"/>
  <c r="N82" i="38"/>
  <c r="M109" i="38"/>
  <c r="N106" i="38"/>
  <c r="N109" i="38" s="1"/>
  <c r="C164" i="38"/>
  <c r="C166" i="38" s="1"/>
  <c r="P22" i="18"/>
  <c r="M91" i="18"/>
  <c r="K56" i="38"/>
  <c r="E138" i="38"/>
  <c r="I62" i="18" s="1"/>
  <c r="E140" i="38"/>
  <c r="D138" i="38"/>
  <c r="H62" i="18" s="1"/>
  <c r="D140" i="38"/>
  <c r="M108" i="18"/>
  <c r="L85" i="38"/>
  <c r="M82" i="38"/>
  <c r="M70" i="38"/>
  <c r="L90" i="38"/>
  <c r="H10" i="38"/>
  <c r="F163" i="38"/>
  <c r="E169" i="38"/>
  <c r="D169" i="38"/>
  <c r="C116" i="38"/>
  <c r="G65" i="18"/>
  <c r="F116" i="38"/>
  <c r="J65" i="18"/>
  <c r="J117" i="18" s="1"/>
  <c r="J122" i="18" s="1"/>
  <c r="G138" i="38"/>
  <c r="F138" i="38"/>
  <c r="F164" i="38" s="1"/>
  <c r="F166" i="38" s="1"/>
  <c r="L52" i="18"/>
  <c r="F169" i="38"/>
  <c r="E115" i="38"/>
  <c r="D115" i="38"/>
  <c r="D163" i="38"/>
  <c r="E163" i="38"/>
  <c r="L123" i="38"/>
  <c r="K78" i="38"/>
  <c r="O22" i="18"/>
  <c r="Q20" i="18" l="1"/>
  <c r="M18" i="38"/>
  <c r="M20" i="38"/>
  <c r="L13" i="38"/>
  <c r="L11" i="38" s="1"/>
  <c r="L12" i="38" s="1"/>
  <c r="N27" i="38"/>
  <c r="N38" i="38"/>
  <c r="M58" i="38"/>
  <c r="M56" i="38" s="1"/>
  <c r="N5" i="38"/>
  <c r="I115" i="38"/>
  <c r="I116" i="38" s="1"/>
  <c r="I180" i="38"/>
  <c r="I138" i="38"/>
  <c r="L78" i="38"/>
  <c r="K12" i="38"/>
  <c r="I140" i="38"/>
  <c r="L56" i="38"/>
  <c r="M79" i="38"/>
  <c r="M77" i="38" s="1"/>
  <c r="N65" i="38"/>
  <c r="N64" i="38" s="1"/>
  <c r="N29" i="38"/>
  <c r="M85" i="38"/>
  <c r="N85" i="38"/>
  <c r="M90" i="38"/>
  <c r="D164" i="38"/>
  <c r="D166" i="38" s="1"/>
  <c r="I179" i="38"/>
  <c r="J126" i="18"/>
  <c r="J125" i="18"/>
  <c r="Q22" i="18"/>
  <c r="Q127" i="18"/>
  <c r="G44" i="18"/>
  <c r="G117" i="18"/>
  <c r="G122" i="18" s="1"/>
  <c r="E164" i="38"/>
  <c r="E166" i="38" s="1"/>
  <c r="M123" i="38"/>
  <c r="N123" i="38" s="1"/>
  <c r="O123" i="38" s="1"/>
  <c r="D116" i="38"/>
  <c r="H65" i="18"/>
  <c r="H117" i="18" s="1"/>
  <c r="H122" i="18" s="1"/>
  <c r="J62" i="18"/>
  <c r="E116" i="38"/>
  <c r="I65" i="18"/>
  <c r="I117" i="18" s="1"/>
  <c r="K62" i="18"/>
  <c r="M52" i="18"/>
  <c r="M13" i="38" l="1"/>
  <c r="M11" i="38" s="1"/>
  <c r="M12" i="38" s="1"/>
  <c r="N20" i="38"/>
  <c r="N4" i="38"/>
  <c r="N165" i="38" s="1"/>
  <c r="R20" i="18"/>
  <c r="M78" i="38"/>
  <c r="N79" i="38"/>
  <c r="H130" i="18"/>
  <c r="H126" i="18"/>
  <c r="H125" i="18"/>
  <c r="G130" i="18"/>
  <c r="G126" i="18"/>
  <c r="G125" i="18"/>
  <c r="N13" i="38" l="1"/>
  <c r="R127" i="18"/>
  <c r="R22" i="18"/>
  <c r="N11" i="38"/>
  <c r="N12" i="38" s="1"/>
  <c r="N77" i="38"/>
  <c r="N78" i="38"/>
  <c r="N56" i="38"/>
  <c r="H4" i="18"/>
  <c r="C6" i="18"/>
  <c r="B25" i="18"/>
  <c r="C25" i="18"/>
  <c r="D25" i="18"/>
  <c r="E25" i="18"/>
  <c r="G25" i="18"/>
  <c r="H25" i="18"/>
  <c r="I25" i="18"/>
  <c r="J25" i="18"/>
  <c r="K25" i="18"/>
  <c r="L25" i="18"/>
  <c r="B31" i="18"/>
  <c r="C31" i="18"/>
  <c r="D31" i="18"/>
  <c r="E31" i="18"/>
  <c r="G31" i="18"/>
  <c r="H31" i="18"/>
  <c r="I31" i="18"/>
  <c r="J31" i="18"/>
  <c r="K31" i="18"/>
  <c r="L31" i="18"/>
  <c r="B51" i="18"/>
  <c r="C51" i="18"/>
  <c r="D51" i="18"/>
  <c r="E51" i="18"/>
  <c r="F51" i="18"/>
  <c r="G51" i="18"/>
  <c r="H51" i="18"/>
  <c r="I51" i="18"/>
  <c r="J51" i="18"/>
  <c r="K51" i="18"/>
  <c r="L51" i="18"/>
  <c r="B68" i="18"/>
  <c r="C68" i="18"/>
  <c r="D68" i="18"/>
  <c r="E68" i="18"/>
  <c r="F68" i="18"/>
  <c r="G68" i="18"/>
  <c r="H68" i="18"/>
  <c r="I68" i="18"/>
  <c r="J68" i="18"/>
  <c r="K68" i="18"/>
  <c r="L68" i="18"/>
  <c r="B69" i="18"/>
  <c r="C69" i="18"/>
  <c r="D69" i="18"/>
  <c r="E69" i="18"/>
  <c r="G69" i="18"/>
  <c r="H69" i="18"/>
  <c r="I69" i="18"/>
  <c r="B74" i="18"/>
  <c r="C74" i="18"/>
  <c r="D74" i="18"/>
  <c r="E74" i="18"/>
  <c r="G74" i="18"/>
  <c r="H74" i="18"/>
  <c r="I74" i="18"/>
  <c r="B79" i="18"/>
  <c r="C79" i="18"/>
  <c r="D79" i="18"/>
  <c r="E79" i="18"/>
  <c r="G79" i="18"/>
  <c r="H79" i="18"/>
  <c r="I79" i="18"/>
  <c r="B83" i="18"/>
  <c r="C83" i="18"/>
  <c r="D83" i="18"/>
  <c r="D86" i="18" s="1"/>
  <c r="D89" i="18" s="1"/>
  <c r="E83" i="18"/>
  <c r="G83" i="18"/>
  <c r="H83" i="18"/>
  <c r="I83" i="18"/>
  <c r="B91" i="18"/>
  <c r="B92" i="18" s="1"/>
  <c r="C91" i="18"/>
  <c r="C92" i="18" s="1"/>
  <c r="D91" i="18"/>
  <c r="D92" i="18" s="1"/>
  <c r="E91" i="18"/>
  <c r="E92" i="18" s="1"/>
  <c r="B94" i="18"/>
  <c r="C94" i="18"/>
  <c r="D94" i="18"/>
  <c r="E94" i="18"/>
  <c r="D78" i="18" l="1"/>
  <c r="H86" i="18"/>
  <c r="D96" i="18"/>
  <c r="D98" i="18" s="1"/>
  <c r="C86" i="18"/>
  <c r="C89" i="18" s="1"/>
  <c r="B78" i="18"/>
  <c r="C96" i="18"/>
  <c r="C98" i="18" s="1"/>
  <c r="G86" i="18"/>
  <c r="G89" i="18" s="1"/>
  <c r="H78" i="18"/>
  <c r="B96" i="18"/>
  <c r="B98" i="18" s="1"/>
  <c r="I86" i="18"/>
  <c r="E86" i="18"/>
  <c r="E89" i="18" s="1"/>
  <c r="E96" i="18"/>
  <c r="E98" i="18" s="1"/>
  <c r="I78" i="18"/>
  <c r="E78" i="18"/>
  <c r="C78" i="18"/>
  <c r="D6" i="18"/>
  <c r="C9" i="18"/>
  <c r="B86" i="18"/>
  <c r="G78" i="18"/>
  <c r="B89" i="18" l="1"/>
  <c r="J83" i="18" l="1"/>
  <c r="J79" i="18"/>
  <c r="K83" i="18" l="1"/>
  <c r="J86" i="18"/>
  <c r="H22" i="18" l="1"/>
  <c r="G33" i="18"/>
  <c r="G22" i="18"/>
  <c r="G40" i="18"/>
  <c r="G39" i="18" l="1"/>
  <c r="I22" i="18"/>
  <c r="G23" i="18"/>
  <c r="B9" i="18" l="1"/>
  <c r="J22" i="18"/>
  <c r="D8" i="18" l="1"/>
  <c r="K22" i="18"/>
  <c r="L22" i="18" l="1"/>
  <c r="G48" i="18" l="1"/>
  <c r="G54" i="18" l="1"/>
  <c r="G56" i="18" l="1"/>
  <c r="G28" i="18" s="1"/>
  <c r="G59" i="18" l="1"/>
  <c r="G26" i="18" l="1"/>
  <c r="G47" i="18"/>
  <c r="G37" i="18"/>
  <c r="G27" i="18" l="1"/>
  <c r="G32" i="18"/>
  <c r="G38" i="18" l="1"/>
  <c r="J74" i="18" l="1"/>
  <c r="K74" i="18" l="1"/>
  <c r="H43" i="18" l="1"/>
  <c r="H54" i="18"/>
  <c r="H56" i="18" s="1"/>
  <c r="H28" i="18" s="1"/>
  <c r="I54" i="18" l="1"/>
  <c r="I56" i="18" s="1"/>
  <c r="I28" i="18" s="1"/>
  <c r="I43" i="18"/>
  <c r="H59" i="18"/>
  <c r="H44" i="18" l="1"/>
  <c r="H26" i="18"/>
  <c r="J43" i="18"/>
  <c r="I26" i="18"/>
  <c r="I44" i="18"/>
  <c r="H40" i="18" l="1"/>
  <c r="K43" i="18"/>
  <c r="H32" i="18"/>
  <c r="H38" i="18" s="1"/>
  <c r="H27" i="18"/>
  <c r="H45" i="18"/>
  <c r="H33" i="18" l="1"/>
  <c r="H39" i="18" s="1"/>
  <c r="H89" i="18"/>
  <c r="H29" i="18"/>
  <c r="H48" i="18"/>
  <c r="H23" i="18"/>
  <c r="H37" i="18" s="1"/>
  <c r="H47" i="18"/>
  <c r="I59" i="18"/>
  <c r="I122" i="18" s="1"/>
  <c r="I130" i="18" l="1"/>
  <c r="I126" i="18"/>
  <c r="I125" i="18"/>
  <c r="I32" i="18"/>
  <c r="I45" i="18" l="1"/>
  <c r="I27" i="18"/>
  <c r="I38" i="18"/>
  <c r="I40" i="18" l="1"/>
  <c r="I29" i="18" l="1"/>
  <c r="I89" i="18" l="1"/>
  <c r="I33" i="18"/>
  <c r="I39" i="18" s="1"/>
  <c r="I48" i="18"/>
  <c r="I47" i="18"/>
  <c r="I23" i="18"/>
  <c r="I37" i="18" s="1"/>
  <c r="K79" i="18" l="1"/>
  <c r="K86" i="18" l="1"/>
  <c r="J54" i="18"/>
  <c r="J56" i="18" s="1"/>
  <c r="J28" i="18" s="1"/>
  <c r="J59" i="18" l="1"/>
  <c r="J130" i="18" l="1"/>
  <c r="J44" i="18"/>
  <c r="J26" i="18"/>
  <c r="J32" i="18" l="1"/>
  <c r="J38" i="18" s="1"/>
  <c r="J27" i="18"/>
  <c r="J45" i="18"/>
  <c r="J92" i="18" l="1"/>
  <c r="J104" i="18" s="1"/>
  <c r="J29" i="18"/>
  <c r="J33" i="18"/>
  <c r="J39" i="18" s="1"/>
  <c r="J89" i="18"/>
  <c r="J40" i="18"/>
  <c r="J69" i="18" l="1"/>
  <c r="J78" i="18" s="1"/>
  <c r="J47" i="18" l="1"/>
  <c r="J23" i="18"/>
  <c r="J37" i="18" s="1"/>
  <c r="J48" i="18"/>
  <c r="L83" i="18" l="1"/>
  <c r="M83" i="18" l="1"/>
  <c r="L74" i="18" l="1"/>
  <c r="L43" i="18"/>
  <c r="M43" i="18"/>
  <c r="L79" i="18" l="1"/>
  <c r="L86" i="18" l="1"/>
  <c r="K53" i="18" l="1"/>
  <c r="K54" i="18" s="1"/>
  <c r="K56" i="18" s="1"/>
  <c r="K28" i="18" s="1"/>
  <c r="G62" i="38"/>
  <c r="G169" i="38" l="1"/>
  <c r="G114" i="38"/>
  <c r="G115" i="38" s="1"/>
  <c r="K59" i="18"/>
  <c r="K65" i="18" l="1"/>
  <c r="G164" i="38"/>
  <c r="G116" i="38"/>
  <c r="K44" i="18" l="1"/>
  <c r="K117" i="18"/>
  <c r="K26" i="18"/>
  <c r="K34" i="18"/>
  <c r="K61" i="18"/>
  <c r="K120" i="18" s="1"/>
  <c r="K122" i="18" l="1"/>
  <c r="K130" i="18" s="1"/>
  <c r="K40" i="18"/>
  <c r="L105" i="18"/>
  <c r="K32" i="18"/>
  <c r="K38" i="18" s="1"/>
  <c r="K29" i="18"/>
  <c r="K27" i="18"/>
  <c r="K45" i="18"/>
  <c r="G166" i="38"/>
  <c r="K126" i="18" l="1"/>
  <c r="K125" i="18"/>
  <c r="L107" i="18"/>
  <c r="L58" i="18"/>
  <c r="L118" i="18" s="1"/>
  <c r="K89" i="18"/>
  <c r="K33" i="18"/>
  <c r="K39" i="18" s="1"/>
  <c r="K92" i="18"/>
  <c r="K69" i="18"/>
  <c r="K78" i="18" s="1"/>
  <c r="G163" i="38"/>
  <c r="K104" i="18" l="1"/>
  <c r="K23" i="18"/>
  <c r="K37" i="18" s="1"/>
  <c r="K47" i="18"/>
  <c r="K48" i="18"/>
  <c r="I62" i="38" l="1"/>
  <c r="L53" i="18" l="1"/>
  <c r="L54" i="18" s="1"/>
  <c r="L56" i="18" s="1"/>
  <c r="L28" i="18" s="1"/>
  <c r="H112" i="38"/>
  <c r="H62" i="38"/>
  <c r="H113" i="38" l="1"/>
  <c r="H137" i="38"/>
  <c r="H138" i="38" s="1"/>
  <c r="H136" i="38"/>
  <c r="H134" i="38"/>
  <c r="L134" i="38" s="1"/>
  <c r="M134" i="38" s="1"/>
  <c r="N134" i="38" s="1"/>
  <c r="L60" i="18"/>
  <c r="L119" i="18" s="1"/>
  <c r="H114" i="38"/>
  <c r="L59" i="18"/>
  <c r="L136" i="38" l="1"/>
  <c r="M136" i="38" s="1"/>
  <c r="N136" i="38" s="1"/>
  <c r="H115" i="38"/>
  <c r="H164" i="38" s="1"/>
  <c r="H166" i="38" s="1"/>
  <c r="H163" i="38"/>
  <c r="H140" i="38"/>
  <c r="H169" i="38"/>
  <c r="L65" i="18" l="1"/>
  <c r="H116" i="38"/>
  <c r="L62" i="18"/>
  <c r="L26" i="18" l="1"/>
  <c r="L117" i="18"/>
  <c r="L44" i="18"/>
  <c r="L34" i="18"/>
  <c r="L40" i="18" l="1"/>
  <c r="M105" i="18"/>
  <c r="L61" i="18"/>
  <c r="L120" i="18" s="1"/>
  <c r="L122" i="18" s="1"/>
  <c r="L126" i="18" l="1"/>
  <c r="L125" i="18"/>
  <c r="L45" i="18"/>
  <c r="M107" i="18"/>
  <c r="L27" i="18"/>
  <c r="L32" i="18"/>
  <c r="L38" i="18" s="1"/>
  <c r="L29" i="18"/>
  <c r="M58" i="18"/>
  <c r="M118" i="18" s="1"/>
  <c r="L69" i="18"/>
  <c r="L78" i="18" s="1"/>
  <c r="L130" i="18" l="1"/>
  <c r="L33" i="18"/>
  <c r="L39" i="18" s="1"/>
  <c r="L89" i="18"/>
  <c r="L47" i="18"/>
  <c r="L48" i="18"/>
  <c r="L23" i="18"/>
  <c r="L37" i="18" s="1"/>
  <c r="L104" i="18"/>
  <c r="G162" i="38" l="1"/>
  <c r="H162" i="38"/>
  <c r="Q132" i="18" l="1"/>
  <c r="O132" i="18"/>
  <c r="P132" i="18"/>
  <c r="F29" i="18" l="1"/>
  <c r="G29" i="18"/>
  <c r="F98" i="18"/>
  <c r="F28" i="18" s="1"/>
  <c r="F33" i="18"/>
  <c r="F39" i="18" s="1"/>
  <c r="M64" i="18" l="1"/>
  <c r="I143" i="38"/>
  <c r="L143" i="38" s="1"/>
  <c r="M143" i="38" s="1"/>
  <c r="N143" i="38" s="1"/>
  <c r="M74" i="18" l="1"/>
  <c r="J110" i="38" l="1"/>
  <c r="R141" i="38"/>
  <c r="M60" i="18"/>
  <c r="M119" i="18" s="1"/>
  <c r="M53" i="18"/>
  <c r="M54" i="18" s="1"/>
  <c r="M56" i="18" s="1"/>
  <c r="M59" i="18" s="1"/>
  <c r="I113" i="38"/>
  <c r="M65" i="18"/>
  <c r="R110" i="38" l="1"/>
  <c r="J61" i="38"/>
  <c r="N64" i="18"/>
  <c r="M61" i="18"/>
  <c r="M120" i="18" s="1"/>
  <c r="M117" i="18"/>
  <c r="M26" i="18"/>
  <c r="M44" i="18"/>
  <c r="J62" i="38" l="1"/>
  <c r="J112" i="38"/>
  <c r="M79" i="18"/>
  <c r="M86" i="18" s="1"/>
  <c r="M89" i="18" s="1"/>
  <c r="M122" i="18"/>
  <c r="M125" i="18" s="1"/>
  <c r="M33" i="18"/>
  <c r="M39" i="18" s="1"/>
  <c r="M28" i="18"/>
  <c r="I164" i="38"/>
  <c r="M62" i="18"/>
  <c r="J137" i="38" l="1"/>
  <c r="J169" i="38" s="1"/>
  <c r="J114" i="38"/>
  <c r="J113" i="38"/>
  <c r="J134" i="38"/>
  <c r="J136" i="38"/>
  <c r="M126" i="18"/>
  <c r="M130" i="18"/>
  <c r="I163" i="38"/>
  <c r="M45" i="18"/>
  <c r="M27" i="18"/>
  <c r="M32" i="18"/>
  <c r="M38" i="18" s="1"/>
  <c r="M29" i="18"/>
  <c r="I166" i="38"/>
  <c r="J115" i="38" l="1"/>
  <c r="J116" i="38" s="1"/>
  <c r="J163" i="38"/>
  <c r="J138" i="38"/>
  <c r="J164" i="38" s="1"/>
  <c r="J166" i="38" s="1"/>
  <c r="J140" i="38"/>
  <c r="K140" i="38" s="1"/>
  <c r="L140" i="38" s="1"/>
  <c r="M140" i="38" s="1"/>
  <c r="N140" i="38" s="1"/>
  <c r="O140" i="38" s="1"/>
  <c r="R118" i="38"/>
  <c r="M34" i="18"/>
  <c r="M69" i="18"/>
  <c r="M78" i="18" s="1"/>
  <c r="M90" i="18" s="1"/>
  <c r="N107" i="18"/>
  <c r="M48" i="18" l="1"/>
  <c r="M23" i="18"/>
  <c r="M37" i="18" s="1"/>
  <c r="M47" i="18"/>
  <c r="M104" i="18"/>
  <c r="N105" i="18"/>
  <c r="M40" i="18"/>
  <c r="K46" i="38" l="1"/>
  <c r="K45" i="38" s="1"/>
  <c r="K15" i="38"/>
  <c r="J46" i="38"/>
  <c r="J45" i="38" s="1"/>
  <c r="J49" i="38" s="1"/>
  <c r="K49" i="38" s="1"/>
  <c r="L49" i="38" s="1"/>
  <c r="M49" i="38" s="1"/>
  <c r="N49" i="38" s="1"/>
  <c r="K44" i="38" l="1"/>
  <c r="K41" i="38" s="1"/>
  <c r="K40" i="38" s="1"/>
  <c r="L46" i="38"/>
  <c r="L45" i="38" s="1"/>
  <c r="L44" i="38" s="1"/>
  <c r="L41" i="38" s="1"/>
  <c r="L15" i="38"/>
  <c r="J41" i="38"/>
  <c r="J50" i="38" s="1"/>
  <c r="K50" i="38" s="1"/>
  <c r="L50" i="38" s="1"/>
  <c r="M50" i="38" s="1"/>
  <c r="N50" i="38" s="1"/>
  <c r="M46" i="38"/>
  <c r="M45" i="38" s="1"/>
  <c r="M44" i="38" s="1"/>
  <c r="M41" i="38" s="1"/>
  <c r="M15" i="38"/>
  <c r="L40" i="38" l="1"/>
  <c r="L37" i="38" s="1"/>
  <c r="M40" i="38"/>
  <c r="M37" i="38" s="1"/>
  <c r="K37" i="38"/>
  <c r="K55" i="38"/>
  <c r="J53" i="38"/>
  <c r="N46" i="38"/>
  <c r="N41" i="38" s="1"/>
  <c r="N15" i="38"/>
  <c r="N40" i="38" l="1"/>
  <c r="N37" i="38" s="1"/>
  <c r="K51" i="38"/>
  <c r="J179" i="38"/>
  <c r="J156" i="38"/>
  <c r="N52" i="18"/>
  <c r="N43" i="18" s="1"/>
  <c r="L55" i="38"/>
  <c r="K53" i="38"/>
  <c r="L53" i="38" l="1"/>
  <c r="M55" i="38"/>
  <c r="K9" i="38"/>
  <c r="K95" i="38" s="1"/>
  <c r="M53" i="38" l="1"/>
  <c r="N55" i="38"/>
  <c r="L51" i="38"/>
  <c r="L9" i="38" s="1"/>
  <c r="L95" i="38" s="1"/>
  <c r="K179" i="38"/>
  <c r="K10" i="38"/>
  <c r="K156" i="38"/>
  <c r="O52" i="18"/>
  <c r="O43" i="18" s="1"/>
  <c r="K145" i="38"/>
  <c r="N53" i="38" l="1"/>
  <c r="O55" i="38"/>
  <c r="O53" i="38" s="1"/>
  <c r="M51" i="38"/>
  <c r="M9" i="38" s="1"/>
  <c r="M95" i="38" s="1"/>
  <c r="L179" i="38"/>
  <c r="L145" i="38"/>
  <c r="L156" i="38"/>
  <c r="L10" i="38"/>
  <c r="P52" i="18"/>
  <c r="P43" i="18" s="1"/>
  <c r="M179" i="38" l="1"/>
  <c r="M156" i="38"/>
  <c r="M10" i="38"/>
  <c r="N51" i="38"/>
  <c r="N9" i="38" s="1"/>
  <c r="M145" i="38"/>
  <c r="Q52" i="18"/>
  <c r="Q43" i="18" s="1"/>
  <c r="N95" i="38" l="1"/>
  <c r="O51" i="38"/>
  <c r="O9" i="38" s="1"/>
  <c r="N156" i="38"/>
  <c r="N10" i="38"/>
  <c r="N179" i="38"/>
  <c r="R52" i="18"/>
  <c r="R43" i="18" s="1"/>
  <c r="N145" i="38"/>
  <c r="O10" i="38" l="1"/>
  <c r="S52" i="18"/>
  <c r="O145" i="38"/>
  <c r="O179" i="38"/>
  <c r="O156" i="38"/>
  <c r="O95" i="38"/>
  <c r="N57" i="18"/>
  <c r="K141" i="38"/>
  <c r="K110" i="38" s="1"/>
  <c r="O64" i="18" s="1"/>
  <c r="N91" i="18"/>
  <c r="R121" i="38"/>
  <c r="S43" i="18" l="1"/>
  <c r="N94" i="18"/>
  <c r="N83" i="18"/>
  <c r="N58" i="18"/>
  <c r="N118" i="18" s="1"/>
  <c r="N108" i="18"/>
  <c r="N74" i="18" l="1"/>
  <c r="K7" i="38" l="1"/>
  <c r="K104" i="38" s="1"/>
  <c r="L104" i="38" s="1"/>
  <c r="M104" i="38" s="1"/>
  <c r="N104" i="38" s="1"/>
  <c r="O104" i="38" s="1"/>
  <c r="L7" i="38"/>
  <c r="M7" i="38"/>
  <c r="N7" i="38"/>
  <c r="K8" i="38"/>
  <c r="K122" i="38" s="1"/>
  <c r="K121" i="38" s="1"/>
  <c r="L8" i="38"/>
  <c r="M8" i="38"/>
  <c r="N8" i="38"/>
  <c r="K97" i="38"/>
  <c r="K142" i="38" l="1"/>
  <c r="O75" i="18" s="1"/>
  <c r="L97" i="38"/>
  <c r="M97" i="38" s="1"/>
  <c r="N97" i="38" s="1"/>
  <c r="O97" i="38" s="1"/>
  <c r="K128" i="38"/>
  <c r="K132" i="38" s="1"/>
  <c r="O57" i="18" s="1"/>
  <c r="K107" i="38"/>
  <c r="L107" i="38" s="1"/>
  <c r="M107" i="38" s="1"/>
  <c r="N107" i="38" s="1"/>
  <c r="O107" i="38" s="1"/>
  <c r="L127" i="38"/>
  <c r="M127" i="38" s="1"/>
  <c r="N127" i="38" s="1"/>
  <c r="O127" i="38" s="1"/>
  <c r="L141" i="38"/>
  <c r="L110" i="38" s="1"/>
  <c r="P64" i="18" s="1"/>
  <c r="O108" i="18"/>
  <c r="O84" i="18"/>
  <c r="L122" i="38"/>
  <c r="O77" i="18"/>
  <c r="P77" i="18" s="1"/>
  <c r="Q77" i="18" s="1"/>
  <c r="R77" i="18" s="1"/>
  <c r="S77" i="18" s="1"/>
  <c r="O85" i="18"/>
  <c r="P85" i="18" s="1"/>
  <c r="Q85" i="18" s="1"/>
  <c r="R85" i="18" s="1"/>
  <c r="S85" i="18" s="1"/>
  <c r="O87" i="18"/>
  <c r="K126" i="38"/>
  <c r="K99" i="38"/>
  <c r="L128" i="38" l="1"/>
  <c r="M128" i="38" s="1"/>
  <c r="N128" i="38" s="1"/>
  <c r="O128" i="38" s="1"/>
  <c r="L142" i="38"/>
  <c r="L99" i="38"/>
  <c r="K100" i="38"/>
  <c r="P84" i="18"/>
  <c r="L132" i="38"/>
  <c r="P57" i="18" s="1"/>
  <c r="M122" i="38"/>
  <c r="M121" i="38" s="1"/>
  <c r="P87" i="18"/>
  <c r="L121" i="38"/>
  <c r="O83" i="18"/>
  <c r="O91" i="18"/>
  <c r="L126" i="38"/>
  <c r="K125" i="38"/>
  <c r="P75" i="18" l="1"/>
  <c r="M141" i="38"/>
  <c r="L125" i="38"/>
  <c r="M126" i="38"/>
  <c r="P108" i="18"/>
  <c r="Q84" i="18"/>
  <c r="N122" i="38"/>
  <c r="M132" i="38"/>
  <c r="Q57" i="18" s="1"/>
  <c r="O76" i="18"/>
  <c r="Q87" i="18"/>
  <c r="Q108" i="18"/>
  <c r="P83" i="18"/>
  <c r="P91" i="18"/>
  <c r="M99" i="38"/>
  <c r="L100" i="38"/>
  <c r="N121" i="38" l="1"/>
  <c r="O122" i="38"/>
  <c r="M110" i="38"/>
  <c r="Q64" i="18" s="1"/>
  <c r="M142" i="38"/>
  <c r="R108" i="18"/>
  <c r="M100" i="38"/>
  <c r="N99" i="38"/>
  <c r="O99" i="38" s="1"/>
  <c r="O100" i="38" s="1"/>
  <c r="Q83" i="18"/>
  <c r="Q91" i="18"/>
  <c r="O94" i="18"/>
  <c r="O74" i="18"/>
  <c r="M125" i="38"/>
  <c r="N126" i="38"/>
  <c r="R87" i="18"/>
  <c r="S87" i="18" s="1"/>
  <c r="R84" i="18"/>
  <c r="N132" i="38"/>
  <c r="R57" i="18" s="1"/>
  <c r="P76" i="18"/>
  <c r="O132" i="38" l="1"/>
  <c r="S57" i="18" s="1"/>
  <c r="S84" i="18"/>
  <c r="N125" i="38"/>
  <c r="O126" i="38"/>
  <c r="O125" i="38" s="1"/>
  <c r="S76" i="18" s="1"/>
  <c r="S94" i="18" s="1"/>
  <c r="O121" i="38"/>
  <c r="S108" i="18" s="1"/>
  <c r="N141" i="38"/>
  <c r="Q75" i="18"/>
  <c r="N100" i="38"/>
  <c r="R76" i="18"/>
  <c r="R94" i="18" s="1"/>
  <c r="P94" i="18"/>
  <c r="P74" i="18"/>
  <c r="Q76" i="18"/>
  <c r="R83" i="18"/>
  <c r="R91" i="18"/>
  <c r="S83" i="18" l="1"/>
  <c r="S91" i="18"/>
  <c r="N110" i="38"/>
  <c r="N142" i="38"/>
  <c r="Q94" i="18"/>
  <c r="Q74" i="18"/>
  <c r="O141" i="38" l="1"/>
  <c r="O110" i="38" s="1"/>
  <c r="S64" i="18" s="1"/>
  <c r="R75" i="18"/>
  <c r="R74" i="18" s="1"/>
  <c r="R64" i="18"/>
  <c r="O142" i="38" l="1"/>
  <c r="S75" i="18" s="1"/>
  <c r="S74" i="18" s="1"/>
  <c r="K67" i="38" l="1"/>
  <c r="K66" i="38" s="1"/>
  <c r="L67" i="38"/>
  <c r="L66" i="38" l="1"/>
  <c r="L63" i="38" s="1"/>
  <c r="K63" i="38"/>
  <c r="O67" i="38" l="1"/>
  <c r="N67" i="38"/>
  <c r="M67" i="38"/>
  <c r="M66" i="38" s="1"/>
  <c r="N66" i="38" l="1"/>
  <c r="M63" i="38"/>
  <c r="N63" i="38" l="1"/>
  <c r="O66" i="38"/>
  <c r="O63" i="38" s="1"/>
  <c r="K69" i="38" l="1"/>
  <c r="K68" i="38" s="1"/>
  <c r="K61" i="38" l="1"/>
  <c r="L69" i="38"/>
  <c r="L68" i="38" s="1"/>
  <c r="N53" i="18"/>
  <c r="N54" i="18" s="1"/>
  <c r="N56" i="18" s="1"/>
  <c r="N59" i="18" s="1"/>
  <c r="L61" i="38" l="1"/>
  <c r="M69" i="38"/>
  <c r="M68" i="38" s="1"/>
  <c r="K112" i="38"/>
  <c r="K62" i="38"/>
  <c r="O53" i="18"/>
  <c r="O54" i="18" s="1"/>
  <c r="O56" i="18" s="1"/>
  <c r="M61" i="38" l="1"/>
  <c r="R133" i="38"/>
  <c r="K113" i="38"/>
  <c r="K114" i="38"/>
  <c r="K115" i="38" s="1"/>
  <c r="N60" i="18"/>
  <c r="N119" i="18" s="1"/>
  <c r="R135" i="38"/>
  <c r="N69" i="38"/>
  <c r="N68" i="38" s="1"/>
  <c r="J180" i="38"/>
  <c r="P53" i="18"/>
  <c r="P54" i="18" s="1"/>
  <c r="P56" i="18" s="1"/>
  <c r="L112" i="38"/>
  <c r="L62" i="38"/>
  <c r="O69" i="38"/>
  <c r="N61" i="38" l="1"/>
  <c r="N112" i="38" s="1"/>
  <c r="O68" i="38"/>
  <c r="O61" i="38" s="1"/>
  <c r="L113" i="38"/>
  <c r="L114" i="38"/>
  <c r="L115" i="38" s="1"/>
  <c r="O65" i="18"/>
  <c r="K116" i="38"/>
  <c r="N98" i="18"/>
  <c r="N28" i="18" s="1"/>
  <c r="N33" i="18"/>
  <c r="N39" i="18" s="1"/>
  <c r="N61" i="18"/>
  <c r="N120" i="18" s="1"/>
  <c r="R139" i="38"/>
  <c r="Q53" i="18"/>
  <c r="Q54" i="18" s="1"/>
  <c r="Q56" i="18" s="1"/>
  <c r="M112" i="38"/>
  <c r="M62" i="38"/>
  <c r="R115" i="38"/>
  <c r="N65" i="18"/>
  <c r="R138" i="38"/>
  <c r="N62" i="18"/>
  <c r="O62" i="38" l="1"/>
  <c r="R53" i="18"/>
  <c r="R54" i="18" s="1"/>
  <c r="R56" i="18" s="1"/>
  <c r="N62" i="38"/>
  <c r="S53" i="18"/>
  <c r="S54" i="18" s="1"/>
  <c r="S56" i="18" s="1"/>
  <c r="O112" i="38"/>
  <c r="N44" i="18"/>
  <c r="N26" i="18"/>
  <c r="N117" i="18"/>
  <c r="N122" i="18" s="1"/>
  <c r="M113" i="38"/>
  <c r="M114" i="38"/>
  <c r="M115" i="38" s="1"/>
  <c r="N79" i="18"/>
  <c r="N86" i="18" s="1"/>
  <c r="N89" i="18" s="1"/>
  <c r="K118" i="38"/>
  <c r="N113" i="38"/>
  <c r="N114" i="38"/>
  <c r="N115" i="38" s="1"/>
  <c r="N45" i="18"/>
  <c r="N29" i="18"/>
  <c r="N27" i="18"/>
  <c r="N32" i="18"/>
  <c r="N38" i="18" s="1"/>
  <c r="O26" i="18"/>
  <c r="O44" i="18"/>
  <c r="O117" i="18"/>
  <c r="P65" i="18"/>
  <c r="L116" i="38"/>
  <c r="R164" i="38"/>
  <c r="O113" i="38" l="1"/>
  <c r="O114" i="38"/>
  <c r="O115" i="38" s="1"/>
  <c r="N34" i="18"/>
  <c r="P26" i="18"/>
  <c r="P117" i="18"/>
  <c r="P44" i="18"/>
  <c r="N92" i="18"/>
  <c r="N69" i="18"/>
  <c r="N78" i="18" s="1"/>
  <c r="N90" i="18" s="1"/>
  <c r="N125" i="18"/>
  <c r="N126" i="18"/>
  <c r="N130" i="18"/>
  <c r="R65" i="18"/>
  <c r="N116" i="38"/>
  <c r="O107" i="18"/>
  <c r="O58" i="18"/>
  <c r="K117" i="38"/>
  <c r="Q65" i="18"/>
  <c r="M116" i="38"/>
  <c r="O116" i="38" l="1"/>
  <c r="S65" i="18"/>
  <c r="S44" i="18" s="1"/>
  <c r="N47" i="18"/>
  <c r="N23" i="18"/>
  <c r="N37" i="18" s="1"/>
  <c r="N104" i="18"/>
  <c r="N48" i="18"/>
  <c r="Q117" i="18"/>
  <c r="Q44" i="18"/>
  <c r="Q26" i="18"/>
  <c r="K135" i="38"/>
  <c r="O60" i="18" s="1"/>
  <c r="O119" i="18" s="1"/>
  <c r="K133" i="38"/>
  <c r="O118" i="18"/>
  <c r="O59" i="18"/>
  <c r="R117" i="18"/>
  <c r="R26" i="18"/>
  <c r="R44" i="18"/>
  <c r="N40" i="18"/>
  <c r="O105" i="18"/>
  <c r="S26" i="18" l="1"/>
  <c r="S117" i="18"/>
  <c r="K137" i="38"/>
  <c r="K161" i="38"/>
  <c r="O96" i="18" l="1"/>
  <c r="K162" i="38"/>
  <c r="K138" i="38"/>
  <c r="K139" i="38"/>
  <c r="O61" i="18" s="1"/>
  <c r="O120" i="18" s="1"/>
  <c r="O122" i="18" s="1"/>
  <c r="O88" i="18"/>
  <c r="O33" i="18" l="1"/>
  <c r="O39" i="18" s="1"/>
  <c r="O98" i="18"/>
  <c r="O28" i="18" s="1"/>
  <c r="O126" i="18"/>
  <c r="O125" i="18"/>
  <c r="O130" i="18"/>
  <c r="K164" i="38"/>
  <c r="O62" i="18"/>
  <c r="K119" i="38"/>
  <c r="O71" i="18"/>
  <c r="O80" i="18"/>
  <c r="O79" i="18" s="1"/>
  <c r="O86" i="18" s="1"/>
  <c r="O89" i="18" s="1"/>
  <c r="O32" i="18" l="1"/>
  <c r="O38" i="18" s="1"/>
  <c r="O45" i="18"/>
  <c r="O27" i="18"/>
  <c r="O29" i="18"/>
  <c r="K168" i="38"/>
  <c r="K166" i="38"/>
  <c r="L118" i="38"/>
  <c r="K129" i="38"/>
  <c r="K163" i="38" s="1"/>
  <c r="O70" i="18"/>
  <c r="P58" i="18" l="1"/>
  <c r="P107" i="18"/>
  <c r="L117" i="38"/>
  <c r="O69" i="18"/>
  <c r="O78" i="18" s="1"/>
  <c r="O90" i="18" s="1"/>
  <c r="O92" i="18"/>
  <c r="K167" i="38"/>
  <c r="K170" i="38"/>
  <c r="O34" i="18"/>
  <c r="O23" i="18" l="1"/>
  <c r="O37" i="18" s="1"/>
  <c r="O47" i="18"/>
  <c r="O48" i="18"/>
  <c r="O104" i="18"/>
  <c r="L135" i="38"/>
  <c r="P60" i="18" s="1"/>
  <c r="P119" i="18" s="1"/>
  <c r="L133" i="38"/>
  <c r="O40" i="18"/>
  <c r="P105" i="18"/>
  <c r="P118" i="18"/>
  <c r="P59" i="18"/>
  <c r="L161" i="38" l="1"/>
  <c r="P96" i="18" s="1"/>
  <c r="L137" i="38"/>
  <c r="L162" i="38" l="1"/>
  <c r="L138" i="38"/>
  <c r="L139" i="38"/>
  <c r="P61" i="18" s="1"/>
  <c r="P120" i="18" s="1"/>
  <c r="P122" i="18" s="1"/>
  <c r="P88" i="18"/>
  <c r="P71" i="18"/>
  <c r="P80" i="18"/>
  <c r="P79" i="18" s="1"/>
  <c r="P86" i="18" s="1"/>
  <c r="P89" i="18" l="1"/>
  <c r="P33" i="18"/>
  <c r="P39" i="18" s="1"/>
  <c r="P98" i="18"/>
  <c r="P28" i="18" s="1"/>
  <c r="P125" i="18"/>
  <c r="P130" i="18"/>
  <c r="P126" i="18"/>
  <c r="P62" i="18"/>
  <c r="L164" i="38"/>
  <c r="L119" i="38"/>
  <c r="P29" i="18" l="1"/>
  <c r="P32" i="18"/>
  <c r="P38" i="18" s="1"/>
  <c r="P45" i="18"/>
  <c r="P27" i="18"/>
  <c r="L168" i="38"/>
  <c r="L166" i="38"/>
  <c r="M118" i="38"/>
  <c r="L129" i="38"/>
  <c r="L163" i="38" s="1"/>
  <c r="P70" i="18"/>
  <c r="Q58" i="18" l="1"/>
  <c r="M117" i="38"/>
  <c r="Q107" i="18"/>
  <c r="P69" i="18"/>
  <c r="P78" i="18" s="1"/>
  <c r="P90" i="18" s="1"/>
  <c r="P92" i="18"/>
  <c r="L167" i="38"/>
  <c r="L170" i="38"/>
  <c r="P34" i="18"/>
  <c r="M133" i="38" l="1"/>
  <c r="M135" i="38"/>
  <c r="Q60" i="18" s="1"/>
  <c r="Q119" i="18" s="1"/>
  <c r="Q118" i="18"/>
  <c r="Q59" i="18"/>
  <c r="P48" i="18"/>
  <c r="P23" i="18"/>
  <c r="P37" i="18" s="1"/>
  <c r="P47" i="18"/>
  <c r="P104" i="18"/>
  <c r="Q105" i="18"/>
  <c r="P40" i="18"/>
  <c r="M137" i="38" l="1"/>
  <c r="M161" i="38"/>
  <c r="M162" i="38" l="1"/>
  <c r="Q96" i="18"/>
  <c r="M138" i="38"/>
  <c r="M139" i="38"/>
  <c r="Q61" i="18" s="1"/>
  <c r="Q120" i="18" s="1"/>
  <c r="Q122" i="18" s="1"/>
  <c r="Q88" i="18"/>
  <c r="Q62" i="18" l="1"/>
  <c r="M164" i="38"/>
  <c r="M119" i="38"/>
  <c r="Q98" i="18"/>
  <c r="Q28" i="18" s="1"/>
  <c r="Q33" i="18"/>
  <c r="Q39" i="18" s="1"/>
  <c r="Q126" i="18"/>
  <c r="Q130" i="18"/>
  <c r="Q125" i="18"/>
  <c r="Q80" i="18"/>
  <c r="Q79" i="18" s="1"/>
  <c r="Q86" i="18" s="1"/>
  <c r="Q89" i="18" s="1"/>
  <c r="Q71" i="18"/>
  <c r="Q32" i="18" l="1"/>
  <c r="Q38" i="18" s="1"/>
  <c r="Q45" i="18"/>
  <c r="Q27" i="18"/>
  <c r="Q29" i="18"/>
  <c r="M166" i="38"/>
  <c r="M168" i="38"/>
  <c r="Q70" i="18"/>
  <c r="N118" i="38"/>
  <c r="M129" i="38"/>
  <c r="M163" i="38" s="1"/>
  <c r="M167" i="38" l="1"/>
  <c r="M170" i="38"/>
  <c r="Q34" i="18"/>
  <c r="R58" i="18"/>
  <c r="N117" i="38"/>
  <c r="R107" i="18"/>
  <c r="Q69" i="18"/>
  <c r="Q78" i="18" s="1"/>
  <c r="Q90" i="18" s="1"/>
  <c r="Q92" i="18"/>
  <c r="R118" i="18" l="1"/>
  <c r="R59" i="18"/>
  <c r="Q47" i="18"/>
  <c r="Q48" i="18"/>
  <c r="Q23" i="18"/>
  <c r="Q37" i="18" s="1"/>
  <c r="Q104" i="18"/>
  <c r="N135" i="38"/>
  <c r="R60" i="18" s="1"/>
  <c r="R119" i="18" s="1"/>
  <c r="N133" i="38"/>
  <c r="R105" i="18"/>
  <c r="Q40" i="18"/>
  <c r="N137" i="38" l="1"/>
  <c r="N161" i="38"/>
  <c r="N162" i="38" l="1"/>
  <c r="R96" i="18"/>
  <c r="N138" i="38"/>
  <c r="N139" i="38"/>
  <c r="R61" i="18" s="1"/>
  <c r="R120" i="18" s="1"/>
  <c r="R122" i="18" s="1"/>
  <c r="R88" i="18"/>
  <c r="R80" i="18" l="1"/>
  <c r="R79" i="18" s="1"/>
  <c r="R86" i="18" s="1"/>
  <c r="R89" i="18" s="1"/>
  <c r="R71" i="18"/>
  <c r="R62" i="18"/>
  <c r="N164" i="38"/>
  <c r="N119" i="38"/>
  <c r="O118" i="38" s="1"/>
  <c r="R33" i="18"/>
  <c r="R39" i="18" s="1"/>
  <c r="R98" i="18"/>
  <c r="R28" i="18" s="1"/>
  <c r="R130" i="18"/>
  <c r="R125" i="18"/>
  <c r="R126" i="18"/>
  <c r="O117" i="38" l="1"/>
  <c r="O135" i="38" s="1"/>
  <c r="S60" i="18" s="1"/>
  <c r="S119" i="18" s="1"/>
  <c r="S58" i="18"/>
  <c r="S107" i="18"/>
  <c r="R70" i="18"/>
  <c r="N129" i="38"/>
  <c r="N163" i="38" s="1"/>
  <c r="N166" i="38"/>
  <c r="N168" i="38"/>
  <c r="R29" i="18"/>
  <c r="R32" i="18"/>
  <c r="R38" i="18" s="1"/>
  <c r="R45" i="18"/>
  <c r="R27" i="18"/>
  <c r="O133" i="38" l="1"/>
  <c r="O161" i="38" s="1"/>
  <c r="S118" i="18"/>
  <c r="S59" i="18"/>
  <c r="R69" i="18"/>
  <c r="R78" i="18" s="1"/>
  <c r="R90" i="18" s="1"/>
  <c r="R92" i="18"/>
  <c r="N167" i="38"/>
  <c r="N170" i="38"/>
  <c r="R34" i="18"/>
  <c r="O137" i="38" l="1"/>
  <c r="O138" i="38" s="1"/>
  <c r="R40" i="18"/>
  <c r="S105" i="18"/>
  <c r="O162" i="38"/>
  <c r="S96" i="18"/>
  <c r="R48" i="18"/>
  <c r="R23" i="18"/>
  <c r="R37" i="18" s="1"/>
  <c r="R47" i="18"/>
  <c r="R104" i="18"/>
  <c r="S88" i="18" l="1"/>
  <c r="S33" i="18" s="1"/>
  <c r="S39" i="18" s="1"/>
  <c r="S62" i="18"/>
  <c r="S27" i="18" s="1"/>
  <c r="O119" i="38"/>
  <c r="S70" i="18" s="1"/>
  <c r="O139" i="38"/>
  <c r="O164" i="38" s="1"/>
  <c r="S80" i="18"/>
  <c r="S79" i="18" s="1"/>
  <c r="S86" i="18" s="1"/>
  <c r="S89" i="18" s="1"/>
  <c r="S71" i="18"/>
  <c r="S45" i="18"/>
  <c r="O129" i="38" l="1"/>
  <c r="O163" i="38" s="1"/>
  <c r="S32" i="18"/>
  <c r="S38" i="18" s="1"/>
  <c r="S98" i="18"/>
  <c r="S28" i="18" s="1"/>
  <c r="S29" i="18"/>
  <c r="O168" i="38"/>
  <c r="O166" i="38"/>
  <c r="S61" i="18"/>
  <c r="S120" i="18" s="1"/>
  <c r="S122" i="18" s="1"/>
  <c r="S130" i="18" s="1"/>
  <c r="S69" i="18"/>
  <c r="S78" i="18" s="1"/>
  <c r="S90" i="18" s="1"/>
  <c r="S92" i="18"/>
  <c r="S125" i="18" l="1"/>
  <c r="S126" i="18"/>
  <c r="S34" i="18"/>
  <c r="S40" i="18" s="1"/>
  <c r="O167" i="38"/>
  <c r="O170" i="38"/>
  <c r="S47" i="18"/>
  <c r="S48" i="18"/>
  <c r="S23" i="18"/>
  <c r="S37" i="18" s="1"/>
  <c r="S104" i="18"/>
</calcChain>
</file>

<file path=xl/comments1.xml><?xml version="1.0" encoding="utf-8"?>
<comments xmlns="http://schemas.openxmlformats.org/spreadsheetml/2006/main">
  <authors>
    <author>g.sukhanov</author>
    <author>Руслан Мучипов</author>
  </authors>
  <commentList>
    <comment ref="A1" authorId="0" shapeId="0">
      <text>
        <r>
          <rPr>
            <b/>
            <sz val="8"/>
            <color indexed="81"/>
            <rFont val="Tahoma"/>
            <family val="2"/>
            <charset val="204"/>
          </rPr>
          <t>g.sukhanov:</t>
        </r>
        <r>
          <rPr>
            <sz val="8"/>
            <color indexed="81"/>
            <rFont val="Tahoma"/>
            <family val="2"/>
            <charset val="204"/>
          </rPr>
          <t xml:space="preserve">
Обязательно поле
Валюта данных на этой странице</t>
        </r>
      </text>
    </comment>
    <comment ref="B4" authorId="0" shapeId="0">
      <text>
        <r>
          <rPr>
            <b/>
            <sz val="8"/>
            <color indexed="81"/>
            <rFont val="Tahoma"/>
            <family val="2"/>
            <charset val="204"/>
          </rPr>
          <t>g.sukhanov:</t>
        </r>
        <r>
          <rPr>
            <sz val="8"/>
            <color indexed="81"/>
            <rFont val="Tahoma"/>
            <family val="2"/>
            <charset val="204"/>
          </rPr>
          <t xml:space="preserve">
Обязательное поле
Предпочтительно русский листинг
Должен включать код бумаги и код биржи
</t>
        </r>
      </text>
    </comment>
    <comment ref="C4" authorId="0" shapeId="0">
      <text>
        <r>
          <rPr>
            <b/>
            <sz val="8"/>
            <color indexed="81"/>
            <rFont val="Tahoma"/>
            <family val="2"/>
            <charset val="204"/>
          </rPr>
          <t>g.sukhanov:</t>
        </r>
        <r>
          <rPr>
            <sz val="8"/>
            <color indexed="81"/>
            <rFont val="Tahoma"/>
            <family val="2"/>
            <charset val="204"/>
          </rPr>
          <t xml:space="preserve">
Обязательное поле
Предпочтительно русский листинг
Должен включать код бумаги и код биржи
</t>
        </r>
      </text>
    </comment>
    <comment ref="H4" authorId="0" shapeId="0">
      <text>
        <r>
          <rPr>
            <b/>
            <sz val="8"/>
            <color indexed="81"/>
            <rFont val="Tahoma"/>
            <family val="2"/>
            <charset val="204"/>
          </rPr>
          <t>g.sukhanov:</t>
        </r>
        <r>
          <rPr>
            <sz val="8"/>
            <color indexed="81"/>
            <rFont val="Tahoma"/>
            <family val="2"/>
            <charset val="204"/>
          </rPr>
          <t xml:space="preserve">
Обязательное поле
Дата загрузки модели в базу</t>
        </r>
      </text>
    </comment>
    <comment ref="A65" authorId="1" shapeId="0">
      <text>
        <r>
          <rPr>
            <b/>
            <sz val="9"/>
            <color indexed="81"/>
            <rFont val="Tahoma"/>
            <family val="2"/>
            <charset val="204"/>
          </rPr>
          <t>Руслан Мучипов:</t>
        </r>
        <r>
          <rPr>
            <sz val="9"/>
            <color indexed="81"/>
            <rFont val="Tahoma"/>
            <family val="2"/>
            <charset val="204"/>
          </rPr>
          <t xml:space="preserve">
adjusted</t>
        </r>
      </text>
    </comment>
  </commentList>
</comments>
</file>

<file path=xl/comments2.xml><?xml version="1.0" encoding="utf-8"?>
<comments xmlns="http://schemas.openxmlformats.org/spreadsheetml/2006/main">
  <authors>
    <author>r.muchipov</author>
    <author>Руслан Мучипов</author>
  </authors>
  <commentList>
    <comment ref="F16" authorId="0" shapeId="0">
      <text>
        <r>
          <rPr>
            <b/>
            <sz val="9"/>
            <color indexed="81"/>
            <rFont val="Tahoma"/>
            <family val="2"/>
            <charset val="204"/>
          </rPr>
          <t>r.muchipov:</t>
        </r>
        <r>
          <rPr>
            <sz val="9"/>
            <color indexed="81"/>
            <rFont val="Tahoma"/>
            <family val="2"/>
            <charset val="204"/>
          </rPr>
          <t xml:space="preserve">
one-off effect due to repairless year </t>
        </r>
      </text>
    </comment>
    <comment ref="F22" authorId="0" shapeId="0">
      <text>
        <r>
          <rPr>
            <b/>
            <sz val="9"/>
            <color indexed="81"/>
            <rFont val="Tahoma"/>
            <family val="2"/>
            <charset val="204"/>
          </rPr>
          <t>r.muchipov:</t>
        </r>
        <r>
          <rPr>
            <sz val="9"/>
            <color indexed="81"/>
            <rFont val="Tahoma"/>
            <family val="2"/>
            <charset val="204"/>
          </rPr>
          <t xml:space="preserve">
Capacity = 800</t>
        </r>
      </text>
    </comment>
    <comment ref="H23" authorId="1" shapeId="0">
      <text>
        <r>
          <rPr>
            <b/>
            <sz val="9"/>
            <color indexed="81"/>
            <rFont val="Tahoma"/>
            <family val="2"/>
            <charset val="204"/>
          </rPr>
          <t>Руслан Мучипов:</t>
        </r>
        <r>
          <rPr>
            <sz val="9"/>
            <color indexed="81"/>
            <rFont val="Tahoma"/>
            <family val="2"/>
            <charset val="204"/>
          </rPr>
          <t xml:space="preserve">
170 - UFRs porduction volume</t>
        </r>
      </text>
    </comment>
    <comment ref="F26" authorId="0" shapeId="0">
      <text>
        <r>
          <rPr>
            <b/>
            <sz val="9"/>
            <color indexed="81"/>
            <rFont val="Tahoma"/>
            <family val="2"/>
            <charset val="204"/>
          </rPr>
          <t>r.muchipov:</t>
        </r>
        <r>
          <rPr>
            <sz val="9"/>
            <color indexed="81"/>
            <rFont val="Tahoma"/>
            <family val="2"/>
            <charset val="204"/>
          </rPr>
          <t xml:space="preserve">
Capacity = 1800</t>
        </r>
      </text>
    </comment>
    <comment ref="K26" authorId="1" shapeId="0">
      <text>
        <r>
          <rPr>
            <b/>
            <sz val="9"/>
            <color indexed="81"/>
            <rFont val="Tahoma"/>
            <family val="2"/>
            <charset val="204"/>
          </rPr>
          <t>Руслан Мучипов:</t>
        </r>
        <r>
          <rPr>
            <sz val="9"/>
            <color indexed="81"/>
            <rFont val="Tahoma"/>
            <family val="2"/>
            <charset val="204"/>
          </rPr>
          <t xml:space="preserve">
-40 = IR guidance</t>
        </r>
      </text>
    </comment>
    <comment ref="G27" authorId="1" shapeId="0">
      <text>
        <r>
          <rPr>
            <b/>
            <sz val="9"/>
            <color indexed="81"/>
            <rFont val="Tahoma"/>
            <family val="2"/>
            <charset val="204"/>
          </rPr>
          <t>Руслан Мучипов:</t>
        </r>
        <r>
          <rPr>
            <sz val="9"/>
            <color indexed="81"/>
            <rFont val="Tahoma"/>
            <family val="2"/>
            <charset val="204"/>
          </rPr>
          <t xml:space="preserve">
Including technical grade AN volume</t>
        </r>
      </text>
    </comment>
    <comment ref="F30" authorId="0" shapeId="0">
      <text>
        <r>
          <rPr>
            <b/>
            <sz val="9"/>
            <color indexed="81"/>
            <rFont val="Tahoma"/>
            <family val="2"/>
            <charset val="204"/>
          </rPr>
          <t>r.muchipov:</t>
        </r>
        <r>
          <rPr>
            <sz val="9"/>
            <color indexed="81"/>
            <rFont val="Tahoma"/>
            <family val="2"/>
            <charset val="204"/>
          </rPr>
          <t xml:space="preserve">
Capacity = 1000</t>
        </r>
      </text>
    </comment>
    <comment ref="G30" authorId="0" shapeId="0">
      <text>
        <r>
          <rPr>
            <b/>
            <sz val="9"/>
            <color indexed="81"/>
            <rFont val="Tahoma"/>
            <family val="2"/>
            <charset val="204"/>
          </rPr>
          <t>r.muchipov:</t>
        </r>
        <r>
          <rPr>
            <sz val="9"/>
            <color indexed="81"/>
            <rFont val="Tahoma"/>
            <family val="2"/>
            <charset val="204"/>
          </rPr>
          <t xml:space="preserve">
В январе 2014 года производство карбамидо-аммиачной смеси (КАС) в ОАО «Акрон» вышло на рекордную мощность и составило 83 тыс. тонн, что соответствует годовому уровню 1 млн тонн. Это стало возможным благодаря проведенному в 2013 году комплексу мероприятий по модернизации мощностей в рамках инвестиционной программы. Инвестиции в проект составили 27 млн долл. США. </t>
        </r>
      </text>
    </comment>
    <comment ref="F38" authorId="0" shapeId="0">
      <text>
        <r>
          <rPr>
            <b/>
            <sz val="9"/>
            <color indexed="81"/>
            <rFont val="Tahoma"/>
            <family val="2"/>
            <charset val="204"/>
          </rPr>
          <t>r.muchipov:</t>
        </r>
        <r>
          <rPr>
            <sz val="9"/>
            <color indexed="81"/>
            <rFont val="Tahoma"/>
            <family val="2"/>
            <charset val="204"/>
          </rPr>
          <t xml:space="preserve">
Capacity = 2600</t>
        </r>
      </text>
    </comment>
    <comment ref="J38" authorId="1" shapeId="0">
      <text>
        <r>
          <rPr>
            <b/>
            <sz val="9"/>
            <color indexed="81"/>
            <rFont val="Tahoma"/>
            <family val="2"/>
            <charset val="204"/>
          </rPr>
          <t>Руслан Мучипов:</t>
        </r>
        <r>
          <rPr>
            <sz val="9"/>
            <color indexed="81"/>
            <rFont val="Tahoma"/>
            <family val="2"/>
            <charset val="204"/>
          </rPr>
          <t xml:space="preserve">
Без смешанных;
</t>
        </r>
      </text>
    </comment>
    <comment ref="K47" authorId="1" shapeId="0">
      <text>
        <r>
          <rPr>
            <b/>
            <sz val="9"/>
            <color indexed="81"/>
            <rFont val="Tahoma"/>
            <family val="2"/>
            <charset val="204"/>
          </rPr>
          <t>Руслан Мучипов:</t>
        </r>
        <r>
          <rPr>
            <sz val="9"/>
            <color indexed="81"/>
            <rFont val="Tahoma"/>
            <family val="2"/>
            <charset val="204"/>
          </rPr>
          <t xml:space="preserve">
Spot as of 01.01.2018</t>
        </r>
      </text>
    </comment>
    <comment ref="K48" authorId="1" shapeId="0">
      <text>
        <r>
          <rPr>
            <b/>
            <sz val="9"/>
            <color indexed="81"/>
            <rFont val="Tahoma"/>
            <family val="2"/>
            <charset val="204"/>
          </rPr>
          <t>Руслан Мучипов:</t>
        </r>
        <r>
          <rPr>
            <sz val="9"/>
            <color indexed="81"/>
            <rFont val="Tahoma"/>
            <family val="2"/>
            <charset val="204"/>
          </rPr>
          <t xml:space="preserve">
Spot 01.11.2017</t>
        </r>
      </text>
    </comment>
    <comment ref="N57" authorId="1" shapeId="0">
      <text>
        <r>
          <rPr>
            <b/>
            <sz val="9"/>
            <color indexed="81"/>
            <rFont val="Tahoma"/>
            <family val="2"/>
            <charset val="204"/>
          </rPr>
          <t>Руслан Мучипов:</t>
        </r>
        <r>
          <rPr>
            <sz val="9"/>
            <color indexed="81"/>
            <rFont val="Tahoma"/>
            <family val="2"/>
            <charset val="204"/>
          </rPr>
          <t xml:space="preserve">
IR guidance</t>
        </r>
      </text>
    </comment>
    <comment ref="I125" authorId="1" shapeId="0">
      <text>
        <r>
          <rPr>
            <b/>
            <sz val="9"/>
            <color indexed="81"/>
            <rFont val="Tahoma"/>
            <family val="2"/>
            <charset val="204"/>
          </rPr>
          <t>Руслан Мучипов:</t>
        </r>
        <r>
          <rPr>
            <sz val="9"/>
            <color indexed="81"/>
            <rFont val="Tahoma"/>
            <family val="2"/>
            <charset val="204"/>
          </rPr>
          <t xml:space="preserve">
Лицензии общей стоимостью 32090 млн руб учтены в составе прочих внеоборотных активов (из них 26211=ВКК; 3921=Канада).</t>
        </r>
      </text>
    </comment>
    <comment ref="A127" authorId="0" shapeId="0">
      <text>
        <r>
          <rPr>
            <b/>
            <sz val="9"/>
            <color indexed="81"/>
            <rFont val="Tahoma"/>
            <family val="2"/>
            <charset val="204"/>
          </rPr>
          <t>r.muchipov:</t>
        </r>
        <r>
          <rPr>
            <sz val="9"/>
            <color indexed="81"/>
            <rFont val="Tahoma"/>
            <family val="2"/>
            <charset val="204"/>
          </rPr>
          <t xml:space="preserve">
GRUPAAZOTY (ATT)
http://www.gpw.pl/karta_spolki_en/PLZATRM00012/#chart
http://tarnow.grupaazoty.com/en/relacje/rekomendacje/rekomendacje</t>
        </r>
      </text>
    </comment>
    <comment ref="H127" authorId="1" shapeId="0">
      <text>
        <r>
          <rPr>
            <b/>
            <sz val="9"/>
            <color indexed="81"/>
            <rFont val="Tahoma"/>
            <family val="2"/>
            <charset val="204"/>
          </rPr>
          <t>Руслан Мучипов:</t>
        </r>
        <r>
          <rPr>
            <sz val="9"/>
            <color indexed="81"/>
            <rFont val="Tahoma"/>
            <family val="2"/>
            <charset val="204"/>
          </rPr>
          <t xml:space="preserve">
Учитываем на балансе по средневзвешенной цене покупки пакета (PLN 56,9).
Mcap=$479 as of 31/12/2015</t>
        </r>
      </text>
    </comment>
    <comment ref="D131" authorId="0" shapeId="0">
      <text>
        <r>
          <rPr>
            <b/>
            <sz val="9"/>
            <color indexed="81"/>
            <rFont val="Tahoma"/>
            <family val="2"/>
            <charset val="204"/>
          </rPr>
          <t>r.muchipov:</t>
        </r>
        <r>
          <rPr>
            <sz val="9"/>
            <color indexed="81"/>
            <rFont val="Tahoma"/>
            <family val="2"/>
            <charset val="204"/>
          </rPr>
          <t xml:space="preserve">
Licensis in Canada and Apatit</t>
        </r>
      </text>
    </comment>
    <comment ref="F131" authorId="0" shapeId="0">
      <text>
        <r>
          <rPr>
            <b/>
            <sz val="9"/>
            <color indexed="81"/>
            <rFont val="Tahoma"/>
            <family val="2"/>
            <charset val="204"/>
          </rPr>
          <t>r.muchipov:</t>
        </r>
        <r>
          <rPr>
            <sz val="9"/>
            <color indexed="81"/>
            <rFont val="Tahoma"/>
            <family val="2"/>
            <charset val="204"/>
          </rPr>
          <t xml:space="preserve">
Uralkaliy</t>
        </r>
      </text>
    </comment>
    <comment ref="G139" authorId="1" shapeId="0">
      <text>
        <r>
          <rPr>
            <b/>
            <sz val="9"/>
            <color indexed="81"/>
            <rFont val="Tahoma"/>
            <family val="2"/>
            <charset val="204"/>
          </rPr>
          <t>Руслан Мучипов:</t>
        </r>
        <r>
          <rPr>
            <sz val="9"/>
            <color indexed="81"/>
            <rFont val="Tahoma"/>
            <family val="2"/>
            <charset val="204"/>
          </rPr>
          <t xml:space="preserve">
Неконтролирующая доля представлена долями прочих инвесторов в:
1) Дорогобуж = 9,64%
2) ВКК = 49%
Акрон планомерно выкупает миноритариев Дорогобужа; Прибыль акционеров ВКК на данный момент - это переоценка валютных депозитов.</t>
        </r>
      </text>
    </comment>
    <comment ref="H144" authorId="1" shapeId="0">
      <text>
        <r>
          <rPr>
            <b/>
            <sz val="9"/>
            <color indexed="81"/>
            <rFont val="Tahoma"/>
            <family val="2"/>
            <charset val="204"/>
          </rPr>
          <t>Руслан Мучипов: ЕКО 1Q2015</t>
        </r>
        <r>
          <rPr>
            <sz val="9"/>
            <color indexed="81"/>
            <rFont val="Tahoma"/>
            <family val="2"/>
            <charset val="204"/>
          </rPr>
          <t xml:space="preserve">
Планом капитальных вложений ОАО «Акрон» на 2015 год в соответствии с Протоколом
Правления №72/1 от 17.03.2015 предусмотрены инвестиции в объеме более 14 млрд.руб. с
НДС. </t>
        </r>
      </text>
    </comment>
    <comment ref="I144" authorId="1" shapeId="0">
      <text>
        <r>
          <rPr>
            <b/>
            <sz val="9"/>
            <color indexed="81"/>
            <rFont val="Tahoma"/>
            <family val="2"/>
            <charset val="204"/>
          </rPr>
          <t>Руслан Мучипов:</t>
        </r>
        <r>
          <rPr>
            <sz val="9"/>
            <color indexed="81"/>
            <rFont val="Tahoma"/>
            <family val="2"/>
            <charset val="204"/>
          </rPr>
          <t xml:space="preserve">
Москва. 15 апреля. ИНТЕРФАКС - Капвложения "Акрона" на 2016 год запланированы в размере около $200 млн, говорится в презентации компании.
</t>
        </r>
        <r>
          <rPr>
            <b/>
            <sz val="9"/>
            <color indexed="81"/>
            <rFont val="Tahoma"/>
            <family val="2"/>
            <charset val="204"/>
          </rPr>
          <t>30/08/2016:</t>
        </r>
        <r>
          <rPr>
            <sz val="9"/>
            <color indexed="81"/>
            <rFont val="Tahoma"/>
            <family val="2"/>
            <charset val="204"/>
          </rPr>
          <t xml:space="preserve"> По данным IRO, компания может сократить капекс в 2016 году до $150 млн</t>
        </r>
      </text>
    </comment>
    <comment ref="H146" authorId="1" shapeId="0">
      <text>
        <r>
          <rPr>
            <b/>
            <sz val="9"/>
            <color indexed="81"/>
            <rFont val="Tahoma"/>
            <family val="2"/>
            <charset val="204"/>
          </rPr>
          <t>Руслан Мучипов: ЕКО 1Q2015</t>
        </r>
        <r>
          <rPr>
            <sz val="9"/>
            <color indexed="81"/>
            <rFont val="Tahoma"/>
            <family val="2"/>
            <charset val="204"/>
          </rPr>
          <t xml:space="preserve">
План капитальных вложений на 2015 год предусматривает инвестирование по
следующим ключевым направлениям:
1.Развитие производства: увеличение объемов и расширение ассортимента
производимой продукции, выпуск новых видов продукции.
Данное направление предусматривает реализацию следующих крупных
инвестиционных проектов, на долю которых в плане приходится около 85% затрат:
«Аммиак-4»
«Нефелин-10»
«РЗЭ»</t>
        </r>
      </text>
    </comment>
    <comment ref="M147" authorId="1" shapeId="0">
      <text>
        <r>
          <rPr>
            <b/>
            <sz val="9"/>
            <color indexed="81"/>
            <rFont val="Tahoma"/>
            <family val="2"/>
            <charset val="204"/>
          </rPr>
          <t>Руслан Мучипов:</t>
        </r>
        <r>
          <rPr>
            <sz val="9"/>
            <color indexed="81"/>
            <rFont val="Tahoma"/>
            <family val="2"/>
            <charset val="204"/>
          </rPr>
          <t xml:space="preserve">
Строительство установки КФК и линии аминосмол</t>
        </r>
      </text>
    </comment>
    <comment ref="K148" authorId="1" shapeId="0">
      <text>
        <r>
          <rPr>
            <b/>
            <sz val="9"/>
            <color indexed="81"/>
            <rFont val="Tahoma"/>
            <family val="2"/>
            <charset val="204"/>
          </rPr>
          <t>Руслан Мучипов:</t>
        </r>
        <r>
          <rPr>
            <sz val="9"/>
            <color indexed="81"/>
            <rFont val="Tahoma"/>
            <family val="2"/>
            <charset val="204"/>
          </rPr>
          <t xml:space="preserve">
$45+$20=rail road construction to Murmansk (SnB line previously).</t>
        </r>
      </text>
    </comment>
    <comment ref="L154" authorId="1" shapeId="0">
      <text>
        <r>
          <rPr>
            <b/>
            <sz val="9"/>
            <color indexed="81"/>
            <rFont val="Tahoma"/>
            <family val="2"/>
            <charset val="204"/>
          </rPr>
          <t>Руслан Мучипов:</t>
        </r>
        <r>
          <rPr>
            <sz val="9"/>
            <color indexed="81"/>
            <rFont val="Tahoma"/>
            <family val="2"/>
            <charset val="204"/>
          </rPr>
          <t xml:space="preserve">
Москва. 29 июня. ИНТЕРФАКС - "Дорогобуж" (MOEX: DGBZ) (Смоленская область, входит в группу "Акрон" (MOEX: AKRN)) вложит $75 млн в модернизацию агрегата аммиака с увеличением производительности с 1740 тонн до 2100 тонн в сутки, говорится в сообщении компании. 
Годовой объем выпуска продукта увеличится на 130 тыс. тонн, или более чем на 20% от текущей мощности. Проект также позволит повысить энергоэффективность агрегата, снизив расходную норму природного газа. 
Реализация проекта намечена на вторую половину 2019 года. 
Базовый инжиниринг по данному проекту выполняет KBR, генеральным проектировщиком выступает ООО "Новгородский ГИАП", которое будет разрабатывать проектную и рабочую документацию в соответствии с законодательством РФ.
Кроме того, "Дорогобуж" приобретает у KBR лицензию и лицензионное оборудование. </t>
        </r>
      </text>
    </comment>
    <comment ref="G160" authorId="1" shapeId="0">
      <text>
        <r>
          <rPr>
            <b/>
            <sz val="9"/>
            <color indexed="81"/>
            <rFont val="Tahoma"/>
            <family val="2"/>
            <charset val="204"/>
          </rPr>
          <t>Руслан Мучипов:</t>
        </r>
        <r>
          <rPr>
            <sz val="9"/>
            <color indexed="81"/>
            <rFont val="Tahoma"/>
            <family val="2"/>
            <charset val="204"/>
          </rPr>
          <t xml:space="preserve">
За 9 месяцев -$100 млн</t>
        </r>
      </text>
    </comment>
    <comment ref="H167" authorId="1" shapeId="0">
      <text>
        <r>
          <rPr>
            <b/>
            <sz val="9"/>
            <color indexed="81"/>
            <rFont val="Tahoma"/>
            <family val="2"/>
            <charset val="204"/>
          </rPr>
          <t>Руслан Мучипов:</t>
        </r>
        <r>
          <rPr>
            <sz val="9"/>
            <color indexed="81"/>
            <rFont val="Tahoma"/>
            <family val="2"/>
            <charset val="204"/>
          </rPr>
          <t xml:space="preserve">
Москва. 25 января. ИНТЕРФАКС - Дивиденды "Акрона" за 2015 год будут сопоставимы с уровнем 2014 года, сообщил журналистам председатель совета директоров компании Александр Попов. 
При этом он отметил, что уже в этом году компания может внести изменения в дивидендную политику для увеличения коэффициента выплат. 
"По итогам 2015 года я не думаю, что будет рост дивидендов, цифры будут сопоставимы с уровнем 2014 года. А вот по итогам 2016 года, если все будет нормально, мы будем рекомендовать принятие новой дивидендной политики с прицелом на увеличение выплат", - сказал он. 
Ранее сообщалось, что "Акрон" (MOEX: AKRN) в перспективе может рассмотреть увеличение коэффициента дивидендных выплат. В настоящее время дивидендная политика компании предусматривает выплату акционерам не менее 30% чистой прибыли по МСФО.
За 2014 год "Акрон" выплатил 139 рублей на акцию, или в целом 5,6 млрд рублей из нераспределенной прибыли прошлых лет.</t>
        </r>
      </text>
    </comment>
  </commentList>
</comments>
</file>

<file path=xl/comments3.xml><?xml version="1.0" encoding="utf-8"?>
<comments xmlns="http://schemas.openxmlformats.org/spreadsheetml/2006/main">
  <authors>
    <author>r.muchipov</author>
    <author>Руслан Мучипов</author>
  </authors>
  <commentList>
    <comment ref="F16" authorId="0" shapeId="0">
      <text>
        <r>
          <rPr>
            <b/>
            <sz val="9"/>
            <color indexed="81"/>
            <rFont val="Tahoma"/>
            <family val="2"/>
            <charset val="204"/>
          </rPr>
          <t>r.muchipov:</t>
        </r>
        <r>
          <rPr>
            <sz val="9"/>
            <color indexed="81"/>
            <rFont val="Tahoma"/>
            <family val="2"/>
            <charset val="204"/>
          </rPr>
          <t xml:space="preserve">
one-off effect due to repairless year </t>
        </r>
      </text>
    </comment>
    <comment ref="F22" authorId="0" shapeId="0">
      <text>
        <r>
          <rPr>
            <b/>
            <sz val="9"/>
            <color indexed="81"/>
            <rFont val="Tahoma"/>
            <family val="2"/>
            <charset val="204"/>
          </rPr>
          <t>r.muchipov:</t>
        </r>
        <r>
          <rPr>
            <sz val="9"/>
            <color indexed="81"/>
            <rFont val="Tahoma"/>
            <family val="2"/>
            <charset val="204"/>
          </rPr>
          <t xml:space="preserve">
Capacity = 800</t>
        </r>
      </text>
    </comment>
    <comment ref="H23" authorId="1" shapeId="0">
      <text>
        <r>
          <rPr>
            <b/>
            <sz val="9"/>
            <color indexed="81"/>
            <rFont val="Tahoma"/>
            <family val="2"/>
            <charset val="204"/>
          </rPr>
          <t>Руслан Мучипов:</t>
        </r>
        <r>
          <rPr>
            <sz val="9"/>
            <color indexed="81"/>
            <rFont val="Tahoma"/>
            <family val="2"/>
            <charset val="204"/>
          </rPr>
          <t xml:space="preserve">
170 - UFRs porduction volume</t>
        </r>
      </text>
    </comment>
    <comment ref="F26" authorId="0" shapeId="0">
      <text>
        <r>
          <rPr>
            <b/>
            <sz val="9"/>
            <color indexed="81"/>
            <rFont val="Tahoma"/>
            <family val="2"/>
            <charset val="204"/>
          </rPr>
          <t>r.muchipov:</t>
        </r>
        <r>
          <rPr>
            <sz val="9"/>
            <color indexed="81"/>
            <rFont val="Tahoma"/>
            <family val="2"/>
            <charset val="204"/>
          </rPr>
          <t xml:space="preserve">
Capacity = 1800</t>
        </r>
      </text>
    </comment>
    <comment ref="K26" authorId="1" shapeId="0">
      <text>
        <r>
          <rPr>
            <b/>
            <sz val="9"/>
            <color indexed="81"/>
            <rFont val="Tahoma"/>
            <family val="2"/>
            <charset val="204"/>
          </rPr>
          <t>Руслан Мучипов:</t>
        </r>
        <r>
          <rPr>
            <sz val="9"/>
            <color indexed="81"/>
            <rFont val="Tahoma"/>
            <family val="2"/>
            <charset val="204"/>
          </rPr>
          <t xml:space="preserve">
-40 = IR guidance</t>
        </r>
      </text>
    </comment>
    <comment ref="G27" authorId="1" shapeId="0">
      <text>
        <r>
          <rPr>
            <b/>
            <sz val="9"/>
            <color indexed="81"/>
            <rFont val="Tahoma"/>
            <family val="2"/>
            <charset val="204"/>
          </rPr>
          <t>Руслан Мучипов:</t>
        </r>
        <r>
          <rPr>
            <sz val="9"/>
            <color indexed="81"/>
            <rFont val="Tahoma"/>
            <family val="2"/>
            <charset val="204"/>
          </rPr>
          <t xml:space="preserve">
Including technical grade AN volume</t>
        </r>
      </text>
    </comment>
    <comment ref="F30" authorId="0" shapeId="0">
      <text>
        <r>
          <rPr>
            <b/>
            <sz val="9"/>
            <color indexed="81"/>
            <rFont val="Tahoma"/>
            <family val="2"/>
            <charset val="204"/>
          </rPr>
          <t>r.muchipov:</t>
        </r>
        <r>
          <rPr>
            <sz val="9"/>
            <color indexed="81"/>
            <rFont val="Tahoma"/>
            <family val="2"/>
            <charset val="204"/>
          </rPr>
          <t xml:space="preserve">
Capacity = 1000</t>
        </r>
      </text>
    </comment>
    <comment ref="G30" authorId="0" shapeId="0">
      <text>
        <r>
          <rPr>
            <b/>
            <sz val="9"/>
            <color indexed="81"/>
            <rFont val="Tahoma"/>
            <family val="2"/>
            <charset val="204"/>
          </rPr>
          <t>r.muchipov:</t>
        </r>
        <r>
          <rPr>
            <sz val="9"/>
            <color indexed="81"/>
            <rFont val="Tahoma"/>
            <family val="2"/>
            <charset val="204"/>
          </rPr>
          <t xml:space="preserve">
В январе 2014 года производство карбамидо-аммиачной смеси (КАС) в ОАО «Акрон» вышло на рекордную мощность и составило 83 тыс. тонн, что соответствует годовому уровню 1 млн тонн. Это стало возможным благодаря проведенному в 2013 году комплексу мероприятий по модернизации мощностей в рамках инвестиционной программы. Инвестиции в проект составили 27 млн долл. США. </t>
        </r>
      </text>
    </comment>
    <comment ref="F38" authorId="0" shapeId="0">
      <text>
        <r>
          <rPr>
            <b/>
            <sz val="9"/>
            <color indexed="81"/>
            <rFont val="Tahoma"/>
            <family val="2"/>
            <charset val="204"/>
          </rPr>
          <t>r.muchipov:</t>
        </r>
        <r>
          <rPr>
            <sz val="9"/>
            <color indexed="81"/>
            <rFont val="Tahoma"/>
            <family val="2"/>
            <charset val="204"/>
          </rPr>
          <t xml:space="preserve">
Capacity = 2600</t>
        </r>
      </text>
    </comment>
    <comment ref="J38" authorId="1" shapeId="0">
      <text>
        <r>
          <rPr>
            <b/>
            <sz val="9"/>
            <color indexed="81"/>
            <rFont val="Tahoma"/>
            <family val="2"/>
            <charset val="204"/>
          </rPr>
          <t>Руслан Мучипов:</t>
        </r>
        <r>
          <rPr>
            <sz val="9"/>
            <color indexed="81"/>
            <rFont val="Tahoma"/>
            <family val="2"/>
            <charset val="204"/>
          </rPr>
          <t xml:space="preserve">
Без смешанных;
</t>
        </r>
      </text>
    </comment>
    <comment ref="K47" authorId="1" shapeId="0">
      <text>
        <r>
          <rPr>
            <b/>
            <sz val="9"/>
            <color indexed="81"/>
            <rFont val="Tahoma"/>
            <family val="2"/>
            <charset val="204"/>
          </rPr>
          <t>Руслан Мучипов:</t>
        </r>
        <r>
          <rPr>
            <sz val="9"/>
            <color indexed="81"/>
            <rFont val="Tahoma"/>
            <family val="2"/>
            <charset val="204"/>
          </rPr>
          <t xml:space="preserve">
Spot as of 01.01.2018</t>
        </r>
      </text>
    </comment>
    <comment ref="K48" authorId="1" shapeId="0">
      <text>
        <r>
          <rPr>
            <b/>
            <sz val="9"/>
            <color indexed="81"/>
            <rFont val="Tahoma"/>
            <family val="2"/>
            <charset val="204"/>
          </rPr>
          <t>Руслан Мучипов:</t>
        </r>
        <r>
          <rPr>
            <sz val="9"/>
            <color indexed="81"/>
            <rFont val="Tahoma"/>
            <family val="2"/>
            <charset val="204"/>
          </rPr>
          <t xml:space="preserve">
Spot 01.11.2017</t>
        </r>
      </text>
    </comment>
    <comment ref="N57" authorId="1" shapeId="0">
      <text>
        <r>
          <rPr>
            <b/>
            <sz val="9"/>
            <color indexed="81"/>
            <rFont val="Tahoma"/>
            <family val="2"/>
            <charset val="204"/>
          </rPr>
          <t>Руслан Мучипов:</t>
        </r>
        <r>
          <rPr>
            <sz val="9"/>
            <color indexed="81"/>
            <rFont val="Tahoma"/>
            <family val="2"/>
            <charset val="204"/>
          </rPr>
          <t xml:space="preserve">
IR guidance</t>
        </r>
      </text>
    </comment>
    <comment ref="I125" authorId="1" shapeId="0">
      <text>
        <r>
          <rPr>
            <b/>
            <sz val="9"/>
            <color indexed="81"/>
            <rFont val="Tahoma"/>
            <family val="2"/>
            <charset val="204"/>
          </rPr>
          <t>Руслан Мучипов:</t>
        </r>
        <r>
          <rPr>
            <sz val="9"/>
            <color indexed="81"/>
            <rFont val="Tahoma"/>
            <family val="2"/>
            <charset val="204"/>
          </rPr>
          <t xml:space="preserve">
Лицензии общей стоимостью 32090 млн руб учтены в составе прочих внеоборотных активов (из них 26211=ВКК; 3921=Канада).</t>
        </r>
      </text>
    </comment>
    <comment ref="A127" authorId="0" shapeId="0">
      <text>
        <r>
          <rPr>
            <b/>
            <sz val="9"/>
            <color indexed="81"/>
            <rFont val="Tahoma"/>
            <family val="2"/>
            <charset val="204"/>
          </rPr>
          <t>r.muchipov:</t>
        </r>
        <r>
          <rPr>
            <sz val="9"/>
            <color indexed="81"/>
            <rFont val="Tahoma"/>
            <family val="2"/>
            <charset val="204"/>
          </rPr>
          <t xml:space="preserve">
GRUPAAZOTY (ATT)
http://www.gpw.pl/karta_spolki_en/PLZATRM00012/#chart
http://tarnow.grupaazoty.com/en/relacje/rekomendacje/rekomendacje</t>
        </r>
      </text>
    </comment>
    <comment ref="H127" authorId="1" shapeId="0">
      <text>
        <r>
          <rPr>
            <b/>
            <sz val="9"/>
            <color indexed="81"/>
            <rFont val="Tahoma"/>
            <family val="2"/>
            <charset val="204"/>
          </rPr>
          <t>Руслан Мучипов:</t>
        </r>
        <r>
          <rPr>
            <sz val="9"/>
            <color indexed="81"/>
            <rFont val="Tahoma"/>
            <family val="2"/>
            <charset val="204"/>
          </rPr>
          <t xml:space="preserve">
Учитываем на балансе по средневзвешенной цене покупки пакета (PLN 56,9).
Mcap=$479 as of 31/12/2015</t>
        </r>
      </text>
    </comment>
    <comment ref="D131" authorId="0" shapeId="0">
      <text>
        <r>
          <rPr>
            <b/>
            <sz val="9"/>
            <color indexed="81"/>
            <rFont val="Tahoma"/>
            <family val="2"/>
            <charset val="204"/>
          </rPr>
          <t>r.muchipov:</t>
        </r>
        <r>
          <rPr>
            <sz val="9"/>
            <color indexed="81"/>
            <rFont val="Tahoma"/>
            <family val="2"/>
            <charset val="204"/>
          </rPr>
          <t xml:space="preserve">
Licensis in Canada and Apatit</t>
        </r>
      </text>
    </comment>
    <comment ref="F131" authorId="0" shapeId="0">
      <text>
        <r>
          <rPr>
            <b/>
            <sz val="9"/>
            <color indexed="81"/>
            <rFont val="Tahoma"/>
            <family val="2"/>
            <charset val="204"/>
          </rPr>
          <t>r.muchipov:</t>
        </r>
        <r>
          <rPr>
            <sz val="9"/>
            <color indexed="81"/>
            <rFont val="Tahoma"/>
            <family val="2"/>
            <charset val="204"/>
          </rPr>
          <t xml:space="preserve">
Uralkaliy</t>
        </r>
      </text>
    </comment>
    <comment ref="G139" authorId="1" shapeId="0">
      <text>
        <r>
          <rPr>
            <b/>
            <sz val="9"/>
            <color indexed="81"/>
            <rFont val="Tahoma"/>
            <family val="2"/>
            <charset val="204"/>
          </rPr>
          <t>Руслан Мучипов:</t>
        </r>
        <r>
          <rPr>
            <sz val="9"/>
            <color indexed="81"/>
            <rFont val="Tahoma"/>
            <family val="2"/>
            <charset val="204"/>
          </rPr>
          <t xml:space="preserve">
Неконтролирующая доля представлена долями прочих инвесторов в:
1) Дорогобуж = 9,64%
2) ВКК = 49%
Акрон планомерно выкупает миноритариев Дорогобужа; Прибыль акционеров ВКК на данный момент - это переоценка валютных депозитов.</t>
        </r>
      </text>
    </comment>
    <comment ref="H144" authorId="1" shapeId="0">
      <text>
        <r>
          <rPr>
            <b/>
            <sz val="9"/>
            <color indexed="81"/>
            <rFont val="Tahoma"/>
            <family val="2"/>
            <charset val="204"/>
          </rPr>
          <t>Руслан Мучипов: ЕКО 1Q2015</t>
        </r>
        <r>
          <rPr>
            <sz val="9"/>
            <color indexed="81"/>
            <rFont val="Tahoma"/>
            <family val="2"/>
            <charset val="204"/>
          </rPr>
          <t xml:space="preserve">
Планом капитальных вложений ОАО «Акрон» на 2015 год в соответствии с Протоколом
Правления №72/1 от 17.03.2015 предусмотрены инвестиции в объеме более 14 млрд.руб. с
НДС. </t>
        </r>
      </text>
    </comment>
    <comment ref="I144" authorId="1" shapeId="0">
      <text>
        <r>
          <rPr>
            <b/>
            <sz val="9"/>
            <color indexed="81"/>
            <rFont val="Tahoma"/>
            <family val="2"/>
            <charset val="204"/>
          </rPr>
          <t>Руслан Мучипов:</t>
        </r>
        <r>
          <rPr>
            <sz val="9"/>
            <color indexed="81"/>
            <rFont val="Tahoma"/>
            <family val="2"/>
            <charset val="204"/>
          </rPr>
          <t xml:space="preserve">
Москва. 15 апреля. ИНТЕРФАКС - Капвложения "Акрона" на 2016 год запланированы в размере около $200 млн, говорится в презентации компании.
</t>
        </r>
        <r>
          <rPr>
            <b/>
            <sz val="9"/>
            <color indexed="81"/>
            <rFont val="Tahoma"/>
            <family val="2"/>
            <charset val="204"/>
          </rPr>
          <t>30/08/2016:</t>
        </r>
        <r>
          <rPr>
            <sz val="9"/>
            <color indexed="81"/>
            <rFont val="Tahoma"/>
            <family val="2"/>
            <charset val="204"/>
          </rPr>
          <t xml:space="preserve"> По данным IRO, компания может сократить капекс в 2016 году до $150 млн</t>
        </r>
      </text>
    </comment>
    <comment ref="H146" authorId="1" shapeId="0">
      <text>
        <r>
          <rPr>
            <b/>
            <sz val="9"/>
            <color indexed="81"/>
            <rFont val="Tahoma"/>
            <family val="2"/>
            <charset val="204"/>
          </rPr>
          <t>Руслан Мучипов: ЕКО 1Q2015</t>
        </r>
        <r>
          <rPr>
            <sz val="9"/>
            <color indexed="81"/>
            <rFont val="Tahoma"/>
            <family val="2"/>
            <charset val="204"/>
          </rPr>
          <t xml:space="preserve">
План капитальных вложений на 2015 год предусматривает инвестирование по
следующим ключевым направлениям:
1.Развитие производства: увеличение объемов и расширение ассортимента
производимой продукции, выпуск новых видов продукции.
Данное направление предусматривает реализацию следующих крупных
инвестиционных проектов, на долю которых в плане приходится около 85% затрат:
«Аммиак-4»
«Нефелин-10»
«РЗЭ»</t>
        </r>
      </text>
    </comment>
    <comment ref="M147" authorId="1" shapeId="0">
      <text>
        <r>
          <rPr>
            <b/>
            <sz val="9"/>
            <color indexed="81"/>
            <rFont val="Tahoma"/>
            <family val="2"/>
            <charset val="204"/>
          </rPr>
          <t>Руслан Мучипов:</t>
        </r>
        <r>
          <rPr>
            <sz val="9"/>
            <color indexed="81"/>
            <rFont val="Tahoma"/>
            <family val="2"/>
            <charset val="204"/>
          </rPr>
          <t xml:space="preserve">
Строительство установки КФК и линии аминосмол</t>
        </r>
      </text>
    </comment>
    <comment ref="K148" authorId="1" shapeId="0">
      <text>
        <r>
          <rPr>
            <b/>
            <sz val="9"/>
            <color indexed="81"/>
            <rFont val="Tahoma"/>
            <family val="2"/>
            <charset val="204"/>
          </rPr>
          <t>Руслан Мучипов:</t>
        </r>
        <r>
          <rPr>
            <sz val="9"/>
            <color indexed="81"/>
            <rFont val="Tahoma"/>
            <family val="2"/>
            <charset val="204"/>
          </rPr>
          <t xml:space="preserve">
$45+$20=rail road construction to Murmansk (SnB line previously).</t>
        </r>
      </text>
    </comment>
    <comment ref="L154" authorId="1" shapeId="0">
      <text>
        <r>
          <rPr>
            <b/>
            <sz val="9"/>
            <color indexed="81"/>
            <rFont val="Tahoma"/>
            <family val="2"/>
            <charset val="204"/>
          </rPr>
          <t>Руслан Мучипов:</t>
        </r>
        <r>
          <rPr>
            <sz val="9"/>
            <color indexed="81"/>
            <rFont val="Tahoma"/>
            <family val="2"/>
            <charset val="204"/>
          </rPr>
          <t xml:space="preserve">
Москва. 29 июня. ИНТЕРФАКС - "Дорогобуж" (MOEX: DGBZ) (Смоленская область, входит в группу "Акрон" (MOEX: AKRN)) вложит $75 млн в модернизацию агрегата аммиака с увеличением производительности с 1740 тонн до 2100 тонн в сутки, говорится в сообщении компании. 
Годовой объем выпуска продукта увеличится на 130 тыс. тонн, или более чем на 20% от текущей мощности. Проект также позволит повысить энергоэффективность агрегата, снизив расходную норму природного газа. 
Реализация проекта намечена на вторую половину 2019 года. 
Базовый инжиниринг по данному проекту выполняет KBR, генеральным проектировщиком выступает ООО "Новгородский ГИАП", которое будет разрабатывать проектную и рабочую документацию в соответствии с законодательством РФ.
Кроме того, "Дорогобуж" приобретает у KBR лицензию и лицензионное оборудование. </t>
        </r>
      </text>
    </comment>
    <comment ref="G160" authorId="1" shapeId="0">
      <text>
        <r>
          <rPr>
            <b/>
            <sz val="9"/>
            <color indexed="81"/>
            <rFont val="Tahoma"/>
            <family val="2"/>
            <charset val="204"/>
          </rPr>
          <t>Руслан Мучипов:</t>
        </r>
        <r>
          <rPr>
            <sz val="9"/>
            <color indexed="81"/>
            <rFont val="Tahoma"/>
            <family val="2"/>
            <charset val="204"/>
          </rPr>
          <t xml:space="preserve">
За 9 месяцев -$100 млн</t>
        </r>
      </text>
    </comment>
    <comment ref="H167" authorId="1" shapeId="0">
      <text>
        <r>
          <rPr>
            <b/>
            <sz val="9"/>
            <color indexed="81"/>
            <rFont val="Tahoma"/>
            <family val="2"/>
            <charset val="204"/>
          </rPr>
          <t>Руслан Мучипов:</t>
        </r>
        <r>
          <rPr>
            <sz val="9"/>
            <color indexed="81"/>
            <rFont val="Tahoma"/>
            <family val="2"/>
            <charset val="204"/>
          </rPr>
          <t xml:space="preserve">
Москва. 25 января. ИНТЕРФАКС - Дивиденды "Акрона" за 2015 год будут сопоставимы с уровнем 2014 года, сообщил журналистам председатель совета директоров компании Александр Попов. 
При этом он отметил, что уже в этом году компания может внести изменения в дивидендную политику для увеличения коэффициента выплат. 
"По итогам 2015 года я не думаю, что будет рост дивидендов, цифры будут сопоставимы с уровнем 2014 года. А вот по итогам 2016 года, если все будет нормально, мы будем рекомендовать принятие новой дивидендной политики с прицелом на увеличение выплат", - сказал он. 
Ранее сообщалось, что "Акрон" (MOEX: AKRN) в перспективе может рассмотреть увеличение коэффициента дивидендных выплат. В настоящее время дивидендная политика компании предусматривает выплату акционерам не менее 30% чистой прибыли по МСФО.
За 2014 год "Акрон" выплатил 139 рублей на акцию, или в целом 5,6 млрд рублей из нераспределенной прибыли прошлых лет.</t>
        </r>
      </text>
    </comment>
  </commentList>
</comments>
</file>

<file path=xl/connections.xml><?xml version="1.0" encoding="utf-8"?>
<connections xmlns="http://schemas.openxmlformats.org/spreadsheetml/2006/main">
  <connection id="1" odcFile="C:\Users\r.muchipov\Documents\Мои источники данных\srv-dbc-list UNO.odc" keepAlive="1" name="srv-dbc-list UNO" type="5" refreshedVersion="4" background="1">
    <dbPr connection="Provider=MSOLAP.4;Integrated Security=SSPI;Persist Security Info=True;Initial Catalog=UNO;Data Source=srv-dbc-list;MDX Compatibility=1;Safety Options=2;MDX Missing Member Mode=Error" command="Uno"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srv-dbc-list UNO"/>
    <s v="{[Security].[Security].&amp;[26343]}"/>
  </metadataStrings>
  <mdxMetadata count="1">
    <mdx n="0" f="s">
      <ms ns="1" c="0"/>
    </mdx>
  </mdxMetadata>
  <valueMetadata count="1">
    <bk>
      <rc t="1" v="0"/>
    </bk>
  </valueMetadata>
</metadata>
</file>

<file path=xl/sharedStrings.xml><?xml version="1.0" encoding="utf-8"?>
<sst xmlns="http://schemas.openxmlformats.org/spreadsheetml/2006/main" count="678" uniqueCount="328">
  <si>
    <t>Growth</t>
  </si>
  <si>
    <t>Revenue</t>
  </si>
  <si>
    <t>D&amp;A</t>
  </si>
  <si>
    <t>Income tax</t>
  </si>
  <si>
    <t>EBITDA</t>
  </si>
  <si>
    <t>Margins</t>
  </si>
  <si>
    <t>ROIC</t>
  </si>
  <si>
    <t>EBITDA margin</t>
  </si>
  <si>
    <t>NetDebt/EBITDA</t>
  </si>
  <si>
    <t>Total CAPEX</t>
  </si>
  <si>
    <t>EBIT</t>
  </si>
  <si>
    <t>Financing cashflow</t>
  </si>
  <si>
    <t>Investing cashflow</t>
  </si>
  <si>
    <t>Operating cashflow</t>
  </si>
  <si>
    <t>Cash Flow</t>
  </si>
  <si>
    <t>Headcount</t>
  </si>
  <si>
    <t>Invested capital</t>
  </si>
  <si>
    <t>Working capital</t>
  </si>
  <si>
    <t>Investments, mkt value</t>
  </si>
  <si>
    <t>Net debt</t>
  </si>
  <si>
    <t>Gross debt</t>
  </si>
  <si>
    <t>Total liabilities and equity</t>
  </si>
  <si>
    <t>Shareholders’ equity</t>
  </si>
  <si>
    <t>Minority interest</t>
  </si>
  <si>
    <t>Total liabilities</t>
  </si>
  <si>
    <t>Other long-term liabilities</t>
  </si>
  <si>
    <t>Long-term debt</t>
  </si>
  <si>
    <t>Long-term liabilities</t>
  </si>
  <si>
    <t>Other current liabilities</t>
  </si>
  <si>
    <t>Short-term debt</t>
  </si>
  <si>
    <t>Accounts payable</t>
  </si>
  <si>
    <t>Current liabilities</t>
  </si>
  <si>
    <t>Total assets</t>
  </si>
  <si>
    <t>Other fixed assets</t>
  </si>
  <si>
    <t>Investments</t>
  </si>
  <si>
    <t>Property, plant &amp; equipment</t>
  </si>
  <si>
    <t>Fixed assets</t>
  </si>
  <si>
    <t>Other current assets</t>
  </si>
  <si>
    <t>Inventories</t>
  </si>
  <si>
    <t>Accounts receivable</t>
  </si>
  <si>
    <t>Cash &amp; cash equivalents</t>
  </si>
  <si>
    <t>Current assets</t>
  </si>
  <si>
    <t>Balance Sheet</t>
  </si>
  <si>
    <t>Depr</t>
  </si>
  <si>
    <t>Net income</t>
  </si>
  <si>
    <t>Pre-tax income</t>
  </si>
  <si>
    <t>Net financing costs</t>
  </si>
  <si>
    <t>Non-operating costs</t>
  </si>
  <si>
    <t>SG&amp;A</t>
  </si>
  <si>
    <t>Gross profit</t>
  </si>
  <si>
    <t>Costs</t>
  </si>
  <si>
    <t>Income Statement</t>
  </si>
  <si>
    <t>Net debt / Sales</t>
  </si>
  <si>
    <t>Net debt / EBITDA</t>
  </si>
  <si>
    <t>Leverage</t>
  </si>
  <si>
    <t>Revenues</t>
  </si>
  <si>
    <t>Dividend yield, preferred</t>
  </si>
  <si>
    <t>Dividend yield, common</t>
  </si>
  <si>
    <t>P/BV</t>
  </si>
  <si>
    <t>P/E</t>
  </si>
  <si>
    <t>EV/EBITDA</t>
  </si>
  <si>
    <t>Price Ratios</t>
  </si>
  <si>
    <t>DPS, preferred, $</t>
  </si>
  <si>
    <t>DPS, common, $</t>
  </si>
  <si>
    <t>BVPS, $</t>
  </si>
  <si>
    <t>EPS, $</t>
  </si>
  <si>
    <t xml:space="preserve">Per share </t>
  </si>
  <si>
    <t>ROAE</t>
  </si>
  <si>
    <t>Net margin</t>
  </si>
  <si>
    <t>EV</t>
  </si>
  <si>
    <t>MCAP, historic, average for the year</t>
  </si>
  <si>
    <t>preferred</t>
  </si>
  <si>
    <t>common</t>
  </si>
  <si>
    <t>Average number of shares outstanding, mn</t>
  </si>
  <si>
    <t>Average price for the year</t>
  </si>
  <si>
    <t>Target price</t>
  </si>
  <si>
    <t>DDM</t>
  </si>
  <si>
    <t>DCF, $/share</t>
  </si>
  <si>
    <t>Free Float</t>
  </si>
  <si>
    <t>Shares issued, m</t>
  </si>
  <si>
    <t>Price, USD</t>
  </si>
  <si>
    <t>Price, RUB</t>
  </si>
  <si>
    <t>Date</t>
  </si>
  <si>
    <t>Ticker</t>
  </si>
  <si>
    <t>Current RUB/USD</t>
  </si>
  <si>
    <t>Discount</t>
  </si>
  <si>
    <t>Preferred</t>
  </si>
  <si>
    <t>Common</t>
  </si>
  <si>
    <t>Company Name</t>
  </si>
  <si>
    <t>Urea</t>
  </si>
  <si>
    <t>Ammonia</t>
  </si>
  <si>
    <t>Uralkaliy</t>
  </si>
  <si>
    <t>Others</t>
  </si>
  <si>
    <t>Natural gas</t>
  </si>
  <si>
    <t>AKRN RX</t>
  </si>
  <si>
    <t>CAPEX</t>
  </si>
  <si>
    <t>Payout ratio</t>
  </si>
  <si>
    <t>Interest income</t>
  </si>
  <si>
    <t>Interest expense</t>
  </si>
  <si>
    <t>Comments</t>
  </si>
  <si>
    <t>Exit date</t>
  </si>
  <si>
    <t>Dividend payment date</t>
  </si>
  <si>
    <t>MCap</t>
  </si>
  <si>
    <t>NoS</t>
  </si>
  <si>
    <t>PX</t>
  </si>
  <si>
    <t>RUB/USD avg</t>
  </si>
  <si>
    <t>RUB/USD end</t>
  </si>
  <si>
    <t>ex-freight &amp; container</t>
  </si>
  <si>
    <t>growth, %</t>
  </si>
  <si>
    <t>Production, '000 t</t>
  </si>
  <si>
    <t>including Hongri Acron, '000 t</t>
  </si>
  <si>
    <t>Consumption, '000 t</t>
  </si>
  <si>
    <t>Price, $/t FOB Baltic</t>
  </si>
  <si>
    <t>Nitrogen fertilizers</t>
  </si>
  <si>
    <t>Ammonium Nitrate</t>
  </si>
  <si>
    <t>UAN</t>
  </si>
  <si>
    <t>NPK 16-16-16 &amp; blends</t>
  </si>
  <si>
    <t>rub_usd adjusted</t>
  </si>
  <si>
    <t>NPK actual price, $/t FOB Baltic</t>
  </si>
  <si>
    <t>NPK calculated price, $/t FOB Baltic</t>
  </si>
  <si>
    <t>Urea price, $/t FOB Baltic</t>
  </si>
  <si>
    <t>DAP actual price, $/t FOB main ports</t>
  </si>
  <si>
    <t>DAP calculated price, $/t FOB main ports</t>
  </si>
  <si>
    <t>Ammonia price, $/t FOB Baltic</t>
  </si>
  <si>
    <t>Phosphate rock price, $/t FOB Morocco/Jordan</t>
  </si>
  <si>
    <t>DAP hystorical spread</t>
  </si>
  <si>
    <t>NPK hystorical spread</t>
  </si>
  <si>
    <t>Other products</t>
  </si>
  <si>
    <t>???</t>
  </si>
  <si>
    <t>Phosphate rock</t>
  </si>
  <si>
    <t>Acron &amp; Dorogobuzh consumption, '000 t</t>
  </si>
  <si>
    <t>Price, $/t FOB</t>
  </si>
  <si>
    <t>Gas expense, mcm</t>
  </si>
  <si>
    <t>Gas expense, kcm/t</t>
  </si>
  <si>
    <t>Gas price, rub/kcm</t>
  </si>
  <si>
    <t>gas price growth, %</t>
  </si>
  <si>
    <t>total consumption</t>
  </si>
  <si>
    <t>including Acron &amp; Dorogobuzh, '000 t</t>
  </si>
  <si>
    <t>rock-to-NPK ratio</t>
  </si>
  <si>
    <t>Phosphate rock price, $/t delivered</t>
  </si>
  <si>
    <t>Potash</t>
  </si>
  <si>
    <t>potash-to-NPK ratio</t>
  </si>
  <si>
    <t>Potash price, $/t delivered</t>
  </si>
  <si>
    <r>
      <rPr>
        <b/>
        <sz val="12"/>
        <color theme="1"/>
        <rFont val="Arial Narrow"/>
        <family val="2"/>
        <charset val="204"/>
      </rPr>
      <t>monthly price:</t>
    </r>
    <r>
      <rPr>
        <sz val="12"/>
        <color theme="1"/>
        <rFont val="Arial Narrow"/>
        <family val="2"/>
        <charset val="204"/>
      </rPr>
      <t xml:space="preserve"> min[FOB;DAF] - transport - $27 + delivery to Acron</t>
    </r>
  </si>
  <si>
    <t>Coal</t>
  </si>
  <si>
    <t>Coal expense, kt</t>
  </si>
  <si>
    <t>Coal expense, t/t</t>
  </si>
  <si>
    <t>Coal price, $/t delivered</t>
  </si>
  <si>
    <t>Sulfur</t>
  </si>
  <si>
    <t>Sulfur expense, kt</t>
  </si>
  <si>
    <t>Sulfur price, $/t delivered</t>
  </si>
  <si>
    <t>Sulphur CFR China Spot, $/t</t>
  </si>
  <si>
    <t>difference, $/t</t>
  </si>
  <si>
    <t>Other materials and Inventories change</t>
  </si>
  <si>
    <t>Transportation (ex-freight)</t>
  </si>
  <si>
    <t>CPI growth, %</t>
  </si>
  <si>
    <t>efficiency factor</t>
  </si>
  <si>
    <t>Repair &amp; Maintenance</t>
  </si>
  <si>
    <t>Impairment loss</t>
  </si>
  <si>
    <t>EBITDA margin, %</t>
  </si>
  <si>
    <t>Finance costs</t>
  </si>
  <si>
    <t>Cash &amp; equivalents</t>
  </si>
  <si>
    <t>interest rate, %</t>
  </si>
  <si>
    <t>share of foreign currency denominated</t>
  </si>
  <si>
    <t>Financial Investments</t>
  </si>
  <si>
    <t>Grupa Azoty S.A.</t>
  </si>
  <si>
    <t>http://tarnow.grupaazoty.com/en/relacje/spolka/struktura</t>
  </si>
  <si>
    <t># of shares</t>
  </si>
  <si>
    <t>Money spent</t>
  </si>
  <si>
    <t>Net Debt</t>
  </si>
  <si>
    <t>PLN/RUB</t>
  </si>
  <si>
    <t>Dividends received</t>
  </si>
  <si>
    <t>4/y rub conservatively</t>
  </si>
  <si>
    <t>share px, PLN</t>
  </si>
  <si>
    <t>Proceeds from selling of investments</t>
  </si>
  <si>
    <t>weighted average px</t>
  </si>
  <si>
    <t>FX &amp; others</t>
  </si>
  <si>
    <t>tax rate, %</t>
  </si>
  <si>
    <t>Net Income reported</t>
  </si>
  <si>
    <t>Net Income adjusted</t>
  </si>
  <si>
    <t>as % of net income</t>
  </si>
  <si>
    <t>PPE &amp; IA</t>
  </si>
  <si>
    <t>as % of PPE &amp; IA</t>
  </si>
  <si>
    <t>as % of revenue</t>
  </si>
  <si>
    <t>Expansion CAPEX</t>
  </si>
  <si>
    <t>Ammonia unit #4 (Novgorod)</t>
  </si>
  <si>
    <t>Oleniy Ruchey unit #2</t>
  </si>
  <si>
    <t>Stay-in-Business CAPEX</t>
  </si>
  <si>
    <t>Acron</t>
  </si>
  <si>
    <t>Dorogobuzh</t>
  </si>
  <si>
    <t>Working capital change</t>
  </si>
  <si>
    <t>FCF to ordinary shares, mln rub</t>
  </si>
  <si>
    <t>MCap of ordinary shares, mln rub</t>
  </si>
  <si>
    <t>Expected FCF yield</t>
  </si>
  <si>
    <t>Dividend yield</t>
  </si>
  <si>
    <t>Urea prilled FOB Baltic Sea</t>
  </si>
  <si>
    <t>Ammonium Nitrate FOB Baltic Sea</t>
  </si>
  <si>
    <t>UAN FOB Black Sea 32%</t>
  </si>
  <si>
    <t>USD/mt</t>
  </si>
  <si>
    <t>gross debt revaluation adjustment</t>
  </si>
  <si>
    <t>Stay-in-Business capex</t>
  </si>
  <si>
    <t>ACRON, usd</t>
  </si>
  <si>
    <t>Investment revaluation adjustment</t>
  </si>
  <si>
    <t>USD</t>
  </si>
  <si>
    <t>Phosphate rock (external)</t>
  </si>
  <si>
    <t>Fuel, power and heat</t>
  </si>
  <si>
    <t>FOB/DAF-50-27+30</t>
  </si>
  <si>
    <t>EBITDA adjusted</t>
  </si>
  <si>
    <t>EBITDA reported</t>
  </si>
  <si>
    <t>Income tax paid</t>
  </si>
  <si>
    <t>tax rate paid, %</t>
  </si>
  <si>
    <t>Volodya's educated guess was 100 ))</t>
  </si>
  <si>
    <t>Dividends paid</t>
  </si>
  <si>
    <t>WC change</t>
  </si>
  <si>
    <t>~$50 mln pa</t>
  </si>
  <si>
    <t>Debt Repayment</t>
  </si>
  <si>
    <t>DPS, usd</t>
  </si>
  <si>
    <t>VKK</t>
  </si>
  <si>
    <t>SHEQ=ASIS + new projects</t>
  </si>
  <si>
    <t>ROIC average</t>
  </si>
  <si>
    <t>ROAE average</t>
  </si>
  <si>
    <t>SHEQ=MCAP + new projects</t>
  </si>
  <si>
    <t>SHEQ=ASIS + NO new projects</t>
  </si>
  <si>
    <t>SHEQ=MCAP + NO new projects</t>
  </si>
  <si>
    <t>FCFE SUSTAINABLE</t>
  </si>
  <si>
    <t>FCFE AVAILABLE</t>
  </si>
  <si>
    <t>FCFS PS</t>
  </si>
  <si>
    <t>MCAP</t>
  </si>
  <si>
    <t>FCFE YIELD, %</t>
  </si>
  <si>
    <t>COE, %</t>
  </si>
  <si>
    <t>Security</t>
  </si>
  <si>
    <t>Названия столбцов</t>
  </si>
  <si>
    <t>Значения</t>
  </si>
  <si>
    <t>2005</t>
  </si>
  <si>
    <t>2006</t>
  </si>
  <si>
    <t>2007</t>
  </si>
  <si>
    <t>2008</t>
  </si>
  <si>
    <t>2009</t>
  </si>
  <si>
    <t>2010</t>
  </si>
  <si>
    <t>2011</t>
  </si>
  <si>
    <t>2012</t>
  </si>
  <si>
    <t>2013</t>
  </si>
  <si>
    <t>2014</t>
  </si>
  <si>
    <t>2015</t>
  </si>
  <si>
    <t>2016</t>
  </si>
  <si>
    <t>2017</t>
  </si>
  <si>
    <t>2018</t>
  </si>
  <si>
    <t>2019</t>
  </si>
  <si>
    <t>2020</t>
  </si>
  <si>
    <t>Russia Rf</t>
  </si>
  <si>
    <t>Mrp</t>
  </si>
  <si>
    <t>Beta Unlevered</t>
  </si>
  <si>
    <t>Beta Levered</t>
  </si>
  <si>
    <t>De</t>
  </si>
  <si>
    <t>Tax Rate</t>
  </si>
  <si>
    <t>Corp Gov Premium</t>
  </si>
  <si>
    <t>Liquidity Premium</t>
  </si>
  <si>
    <t>Req Yield</t>
  </si>
  <si>
    <t>FX adjustment</t>
  </si>
  <si>
    <t>Debt adjustment</t>
  </si>
  <si>
    <t>FCFS adjustment</t>
  </si>
  <si>
    <t>Mid Price</t>
  </si>
  <si>
    <t>Akron</t>
  </si>
  <si>
    <t>Среднее 2010-2015</t>
  </si>
  <si>
    <t>EBIT margin без учета пуска ГОК "Олений Ручей" и "Аммиак-4"</t>
  </si>
  <si>
    <t>EBIT margin - текущий базовый сценарий</t>
  </si>
  <si>
    <t>EBIT margin без учета эффекта девальвации рубля</t>
  </si>
  <si>
    <t>Total production</t>
  </si>
  <si>
    <t>Fertilizers</t>
  </si>
  <si>
    <t>Other chemicals</t>
  </si>
  <si>
    <t>2017 to reach full capacity</t>
  </si>
  <si>
    <t>Comment:</t>
  </si>
  <si>
    <t>2021</t>
  </si>
  <si>
    <t/>
  </si>
  <si>
    <t>Карбамид FOB Baltic Sea</t>
  </si>
  <si>
    <t>Sulfur price, $/t FOB Black Sea</t>
  </si>
  <si>
    <t>Potash price, $/t FOB Baltic Sea</t>
  </si>
  <si>
    <t>as to the FOB Morocco price</t>
  </si>
  <si>
    <t>Other</t>
  </si>
  <si>
    <t>Labor</t>
  </si>
  <si>
    <t>Other fixed costs</t>
  </si>
  <si>
    <t>NK, CAN, AN (Acron)</t>
  </si>
  <si>
    <t>MAP, DAP, NPK (Dorogobuzh)</t>
  </si>
  <si>
    <t>Ammonia upgrade (Acron)</t>
  </si>
  <si>
    <t>Ammonia upgrade (Dorogobuzh)</t>
  </si>
  <si>
    <t>MAP (DAP, NPK)</t>
  </si>
  <si>
    <t>&lt;ul&gt;
&lt;li&gt;Fertilizer production is up by +14% in 2017 on Ammonia and Oleny Ruchey ramp-up, NPKs debottlenecking&lt;/li&gt;
&lt;li&gt;"New strategy" projects are already modelled in (MAP/DAP/AN/CAN/NK/Ammonia) helping production to grow further with CAGR ~4.5%&lt;/li&gt;
&lt;li&gt;Prices recover slightely but stay at the bottom of the cycle on historical scale&lt;/li&gt;
&lt;li&gt;Oleny Ruchey volumes are +50% by 2021 along with 2nd phase development plan&lt;/li&gt;
&lt;li&gt;Natural gas consumption rate declines by 10% in 2017 as new ammonia line gets fully operative&lt;/li&gt;
&lt;li&gt;Investments line includes 20% stake at Grupa Azoty, but excludes potash licenses of $534m book value&lt;/li&gt;
&lt;li&gt;Capex on Talitsky project is postponed unless the banking loan is received&lt;/li&gt;
&lt;li&gt;Dividends stay at 65-70% of FCFE, implying c.$200m per annum to be paid&lt;/li&gt;
&lt;/ul&gt;</t>
  </si>
  <si>
    <t>4Q2017</t>
  </si>
  <si>
    <t>3Q2017</t>
  </si>
  <si>
    <t>2Q2017</t>
  </si>
  <si>
    <t>1Q2017</t>
  </si>
  <si>
    <t>4Q2016</t>
  </si>
  <si>
    <t>3Q2016</t>
  </si>
  <si>
    <t>2Q2016</t>
  </si>
  <si>
    <t>1Q2016</t>
  </si>
  <si>
    <t>FX</t>
  </si>
  <si>
    <t>12m2017</t>
  </si>
  <si>
    <t>9m2017</t>
  </si>
  <si>
    <t>1H2017</t>
  </si>
  <si>
    <t>12m2016</t>
  </si>
  <si>
    <t>9m2016</t>
  </si>
  <si>
    <t>1H2016</t>
  </si>
  <si>
    <t>Sales</t>
  </si>
  <si>
    <t>EBITDA growth</t>
  </si>
  <si>
    <t>Sales growth</t>
  </si>
  <si>
    <t>yoy</t>
  </si>
  <si>
    <t>Volumes</t>
  </si>
  <si>
    <t>Prices</t>
  </si>
  <si>
    <t>NPK</t>
  </si>
  <si>
    <t>Ph.Rock</t>
  </si>
  <si>
    <t>AN</t>
  </si>
  <si>
    <t>Kantor</t>
  </si>
  <si>
    <t>TKB</t>
  </si>
  <si>
    <t>Norges</t>
  </si>
  <si>
    <t>Vanguard</t>
  </si>
  <si>
    <t>Prosperity</t>
  </si>
  <si>
    <t>Treasury</t>
  </si>
  <si>
    <t>Formula adjusted</t>
  </si>
  <si>
    <t>2017 updated to the factual indexation</t>
  </si>
  <si>
    <t>2017 average pricee updated to YTD</t>
  </si>
  <si>
    <t>Comment added</t>
  </si>
  <si>
    <t>Price adjusted to the 6m17 fact, lowered for 2018-2021</t>
  </si>
  <si>
    <t>Adjusted lower after oil price assumption d/grade</t>
  </si>
  <si>
    <t>Urea (Acron)</t>
  </si>
  <si>
    <t>Bulks</t>
  </si>
  <si>
    <t>AN Consumption, '000 t</t>
  </si>
  <si>
    <t>NPK Consumption, '000 t</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</si>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</sst>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45">
    <numFmt numFmtId="164" formatCode="#,##0.00&quot;р.&quot;;[Red]\-#,##0.00&quot;р.&quot;"/>
    <numFmt numFmtId="165" formatCode="_-* #,##0.00_р_._-;\-* #,##0.00_р_._-;_-* &quot;-&quot;??_р_._-;_-@_-"/>
    <numFmt numFmtId="166" formatCode="0.0%"/>
    <numFmt numFmtId="167" formatCode="_(* #,##0_);_(* \(#,##0\);_(* &quot;-&quot;??_);_(@_)"/>
    <numFmt numFmtId="168" formatCode="#,##0.0"/>
    <numFmt numFmtId="169" formatCode="0.0"/>
    <numFmt numFmtId="170" formatCode="#,##0;\-#,##0;&quot;- &quot;"/>
    <numFmt numFmtId="171" formatCode="d\-mmm\-yyyy"/>
    <numFmt numFmtId="172" formatCode="[$$-409]#,##0.00;;\-"/>
    <numFmt numFmtId="173" formatCode="\$0.00"/>
    <numFmt numFmtId="174" formatCode="[$$-409]#,##0.00"/>
    <numFmt numFmtId="175" formatCode="_(* #,##0.00_);_(* \(#,##0.00\);_(* &quot;-&quot;??_);_(@_)"/>
    <numFmt numFmtId="176" formatCode="[$$-409]#,##0"/>
    <numFmt numFmtId="177" formatCode="#,##0.00;;&quot;n.a.&quot;"/>
    <numFmt numFmtId="178" formatCode="\$#,###\m;\ \(\$#,###\m\);\ \-"/>
    <numFmt numFmtId="179" formatCode="dd/mm/yy"/>
    <numFmt numFmtId="180" formatCode="_-* #,##0.00_-;\-* #,##0.00_-;_-* &quot;-&quot;&quot;?&quot;&quot;?&quot;_-;_-@_-"/>
    <numFmt numFmtId="181" formatCode="_-&quot;?&quot;* #,##0.00_-;\-&quot;?&quot;* #,##0.00_-;_-&quot;?&quot;* &quot;-&quot;&quot;?&quot;&quot;?&quot;_-;_-@_-"/>
    <numFmt numFmtId="182" formatCode="_([$€]* #,##0.00_);_([$€]* \(#,##0.00\);_([$€]* &quot;-&quot;??_);_(@_)"/>
    <numFmt numFmtId="183" formatCode="0.0\x;\(0.0\x\);&quot;-&quot;"/>
    <numFmt numFmtId="184" formatCode="0.00\x;\(0.00\x\);&quot;-&quot;"/>
    <numFmt numFmtId="185" formatCode="#,##0.0;\(#,##0.0\)"/>
    <numFmt numFmtId="186" formatCode="#,##0\ &quot;zł&quot;;[Red]\-#,##0\ &quot;zł&quot;"/>
    <numFmt numFmtId="187" formatCode="#,##0.00\ &quot;zł&quot;;[Red]\-#,##0.00\ &quot;zł&quot;"/>
    <numFmt numFmtId="188" formatCode="0.0000"/>
    <numFmt numFmtId="189" formatCode="#,##0.000;\-#,##0.000;&quot;- &quot;"/>
    <numFmt numFmtId="190" formatCode="#,##0.000"/>
    <numFmt numFmtId="191" formatCode="_-* #,##0_-;\-* #,##0_-;_-* &quot;-&quot;??_-;_-@_-"/>
    <numFmt numFmtId="192" formatCode="_-* #,##0.00_-;\-* #,##0.00_-;_-* &quot;-&quot;??_-;_-@_-"/>
    <numFmt numFmtId="193" formatCode="0_)"/>
    <numFmt numFmtId="194" formatCode="#,##0.0_);\(#,##0.0\)"/>
    <numFmt numFmtId="195" formatCode="&quot;$&quot;#,##0.00_);[Red]\(&quot;$&quot;#,##0.00\)"/>
    <numFmt numFmtId="196" formatCode="0.0000000000%"/>
    <numFmt numFmtId="197" formatCode="0.0\ \x;&quot;NM &quot;"/>
    <numFmt numFmtId="198" formatCode="[$-409]mmm\-yy;@"/>
    <numFmt numFmtId="199" formatCode="_-* #,##0_-;\-* #,##0_-;_-* &quot;-&quot;_-;_-@_-"/>
    <numFmt numFmtId="200" formatCode="##,#0_;\(#,##0\)"/>
    <numFmt numFmtId="201" formatCode="#\ ##0_);\(#\ ##0\)"/>
    <numFmt numFmtId="202" formatCode="#,##0\ \ "/>
    <numFmt numFmtId="203" formatCode="_-* #,##0\ _р_._-;\-* #,##0\ _р_._-;_-* &quot;-&quot;\ _р_._-;_-@_-"/>
    <numFmt numFmtId="204" formatCode="_-* #,##0.00\ _р_._-;\-* #,##0.00\ _р_._-;_-* &quot;-&quot;??\ _р_._-;_-@_-"/>
    <numFmt numFmtId="205" formatCode="#,##0.0;\-#,##0.0;&quot;- &quot;"/>
    <numFmt numFmtId="206" formatCode="0.000"/>
    <numFmt numFmtId="207" formatCode="[$-419]mmmm\ yyyy;@"/>
    <numFmt numFmtId="208" formatCode="ddd\ dd/mm/yy"/>
  </numFmts>
  <fonts count="12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9"/>
      <name val="AGOpus"/>
    </font>
    <font>
      <sz val="10"/>
      <name val="Arial"/>
      <family val="2"/>
      <charset val="204"/>
    </font>
    <font>
      <sz val="9"/>
      <name val="Arial"/>
      <family val="2"/>
      <charset val="204"/>
    </font>
    <font>
      <b/>
      <sz val="8"/>
      <color indexed="81"/>
      <name val="Tahoma"/>
      <family val="2"/>
      <charset val="204"/>
    </font>
    <font>
      <sz val="8"/>
      <color indexed="81"/>
      <name val="Tahoma"/>
      <family val="2"/>
      <charset val="204"/>
    </font>
    <font>
      <sz val="10"/>
      <name val="Helv"/>
    </font>
    <font>
      <b/>
      <sz val="9"/>
      <name val="Arial"/>
      <family val="2"/>
      <charset val="204"/>
    </font>
    <font>
      <b/>
      <sz val="9"/>
      <color indexed="18"/>
      <name val="Arial"/>
      <family val="2"/>
      <charset val="204"/>
    </font>
    <font>
      <sz val="9"/>
      <color indexed="53"/>
      <name val="Arial"/>
      <family val="2"/>
      <charset val="204"/>
    </font>
    <font>
      <sz val="10"/>
      <name val="Courier"/>
      <family val="3"/>
    </font>
    <font>
      <sz val="10"/>
      <name val="Arial Cyr"/>
      <charset val="204"/>
    </font>
    <font>
      <sz val="8"/>
      <name val="Times"/>
      <family val="1"/>
    </font>
    <font>
      <sz val="10"/>
      <name val="Arial CE"/>
      <charset val="238"/>
    </font>
    <font>
      <sz val="10"/>
      <name val="Peterburg"/>
      <charset val="204"/>
    </font>
    <font>
      <sz val="9"/>
      <name val="Book Antiqua"/>
      <family val="1"/>
    </font>
    <font>
      <sz val="8"/>
      <name val="Tms Rmn"/>
    </font>
    <font>
      <sz val="11"/>
      <color theme="1"/>
      <name val="Arial Narrow"/>
      <family val="2"/>
      <charset val="204"/>
    </font>
    <font>
      <b/>
      <sz val="11"/>
      <color theme="1"/>
      <name val="Arial Narrow"/>
      <family val="2"/>
      <charset val="204"/>
    </font>
    <font>
      <b/>
      <sz val="12"/>
      <color rgb="FFFF0000"/>
      <name val="Arial Narrow"/>
      <family val="2"/>
      <charset val="204"/>
    </font>
    <font>
      <b/>
      <sz val="12"/>
      <color theme="0" tint="-0.34998626667073579"/>
      <name val="Arial Narrow"/>
      <family val="2"/>
      <charset val="204"/>
    </font>
    <font>
      <b/>
      <sz val="12"/>
      <color theme="1"/>
      <name val="Arial Narrow"/>
      <family val="2"/>
      <charset val="204"/>
    </font>
    <font>
      <sz val="12"/>
      <color theme="1"/>
      <name val="Arial Narrow"/>
      <family val="2"/>
      <charset val="204"/>
    </font>
    <font>
      <sz val="12"/>
      <color theme="0" tint="-0.34998626667073579"/>
      <name val="Arial Narrow"/>
      <family val="2"/>
      <charset val="204"/>
    </font>
    <font>
      <i/>
      <sz val="12"/>
      <color theme="3"/>
      <name val="Arial Narrow"/>
      <family val="2"/>
      <charset val="204"/>
    </font>
    <font>
      <i/>
      <sz val="8"/>
      <color theme="0" tint="-0.34998626667073579"/>
      <name val="Arial Narrow"/>
      <family val="2"/>
      <charset val="204"/>
    </font>
    <font>
      <i/>
      <sz val="9"/>
      <color theme="0" tint="-0.34998626667073579"/>
      <name val="Arial Narrow"/>
      <family val="2"/>
      <charset val="204"/>
    </font>
    <font>
      <i/>
      <sz val="9"/>
      <color theme="3"/>
      <name val="Arial Narrow"/>
      <family val="2"/>
      <charset val="204"/>
    </font>
    <font>
      <i/>
      <sz val="12"/>
      <color theme="0" tint="-0.34998626667073579"/>
      <name val="Arial Narrow"/>
      <family val="2"/>
      <charset val="204"/>
    </font>
    <font>
      <sz val="12"/>
      <name val="Arial Narrow"/>
      <family val="2"/>
      <charset val="204"/>
    </font>
    <font>
      <u/>
      <sz val="8.8000000000000007"/>
      <color theme="10"/>
      <name val="Calibri"/>
      <family val="2"/>
      <charset val="204"/>
    </font>
    <font>
      <sz val="12"/>
      <color theme="3"/>
      <name val="Arial Narrow"/>
      <family val="2"/>
      <charset val="204"/>
    </font>
    <font>
      <b/>
      <sz val="11"/>
      <color theme="0" tint="-0.34998626667073579"/>
      <name val="Arial Narrow"/>
      <family val="2"/>
      <charset val="204"/>
    </font>
    <font>
      <b/>
      <sz val="11"/>
      <color rgb="FFFF0000"/>
      <name val="Arial Narrow"/>
      <family val="2"/>
      <charset val="204"/>
    </font>
    <font>
      <sz val="11"/>
      <color theme="0" tint="-0.34998626667073579"/>
      <name val="Calibri"/>
      <family val="2"/>
      <charset val="204"/>
      <scheme val="minor"/>
    </font>
    <font>
      <b/>
      <sz val="8"/>
      <name val="Arial"/>
      <family val="2"/>
    </font>
    <font>
      <sz val="10"/>
      <name val="Arial"/>
      <family val="2"/>
    </font>
    <font>
      <b/>
      <sz val="9"/>
      <color indexed="81"/>
      <name val="Tahoma"/>
      <family val="2"/>
      <charset val="204"/>
    </font>
    <font>
      <sz val="9"/>
      <color indexed="81"/>
      <name val="Tahoma"/>
      <family val="2"/>
      <charset val="204"/>
    </font>
    <font>
      <sz val="9"/>
      <name val="Arial"/>
      <family val="2"/>
    </font>
    <font>
      <sz val="10"/>
      <name val="Helv"/>
      <family val="2"/>
    </font>
    <font>
      <sz val="10"/>
      <name val="MS Sans Serif"/>
      <family val="2"/>
      <charset val="204"/>
    </font>
    <font>
      <sz val="11"/>
      <color indexed="8"/>
      <name val="Calibri"/>
      <family val="2"/>
      <charset val="204"/>
    </font>
    <font>
      <sz val="11"/>
      <color indexed="9"/>
      <name val="Calibri"/>
      <family val="2"/>
      <charset val="204"/>
    </font>
    <font>
      <sz val="12"/>
      <name val="Arial MT"/>
    </font>
    <font>
      <sz val="10"/>
      <name val="Book Antiqua"/>
      <family val="1"/>
      <charset val="204"/>
    </font>
    <font>
      <b/>
      <sz val="6"/>
      <name val="Arial"/>
      <family val="2"/>
    </font>
    <font>
      <i/>
      <sz val="8"/>
      <name val="Arial"/>
      <family val="2"/>
    </font>
    <font>
      <sz val="8"/>
      <name val="Arial"/>
      <family val="2"/>
    </font>
    <font>
      <sz val="10"/>
      <name val="Arial Narrow"/>
      <family val="2"/>
      <charset val="204"/>
    </font>
    <font>
      <sz val="8"/>
      <color indexed="12"/>
      <name val="Tms Rmn"/>
    </font>
    <font>
      <sz val="10"/>
      <color indexed="18"/>
      <name val="Times New Roman"/>
      <family val="1"/>
    </font>
    <font>
      <sz val="11"/>
      <color indexed="12"/>
      <name val="Book Antiqua"/>
      <family val="1"/>
    </font>
    <font>
      <b/>
      <sz val="10"/>
      <name val="Arial"/>
      <family val="2"/>
    </font>
    <font>
      <sz val="8"/>
      <name val="Times New Roman"/>
      <family val="1"/>
      <charset val="204"/>
    </font>
    <font>
      <sz val="10"/>
      <color indexed="8"/>
      <name val="Arial"/>
      <family val="2"/>
    </font>
    <font>
      <b/>
      <sz val="12"/>
      <name val="Arial"/>
      <family val="2"/>
    </font>
    <font>
      <sz val="10"/>
      <name val="Times New Roman"/>
      <family val="1"/>
    </font>
    <font>
      <sz val="8"/>
      <name val="Arial"/>
      <family val="2"/>
      <charset val="204"/>
    </font>
    <font>
      <sz val="10"/>
      <name val="Aldine401 BT"/>
    </font>
    <font>
      <sz val="10"/>
      <name val="Times New Roman"/>
      <family val="1"/>
      <charset val="204"/>
    </font>
    <font>
      <b/>
      <sz val="13.5"/>
      <name val="MS Sans Serif"/>
      <family val="2"/>
      <charset val="204"/>
    </font>
    <font>
      <b/>
      <sz val="10"/>
      <color indexed="18"/>
      <name val="Symbol"/>
      <family val="1"/>
      <charset val="2"/>
    </font>
    <font>
      <sz val="12"/>
      <name val="Arial"/>
      <family val="2"/>
      <charset val="204"/>
    </font>
    <font>
      <sz val="10"/>
      <name val="Arial Narrow"/>
      <family val="2"/>
    </font>
    <font>
      <b/>
      <sz val="8"/>
      <color indexed="8"/>
      <name val="Wingdings"/>
      <charset val="2"/>
    </font>
    <font>
      <b/>
      <sz val="8"/>
      <color indexed="10"/>
      <name val="Wingdings"/>
      <charset val="2"/>
    </font>
    <font>
      <b/>
      <sz val="8"/>
      <color indexed="9"/>
      <name val="Wingdings"/>
      <charset val="2"/>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8"/>
      <name val="MetaNormalCyrLF-Roman"/>
      <family val="2"/>
    </font>
    <font>
      <sz val="11"/>
      <color theme="1"/>
      <name val="Calibri"/>
      <family val="2"/>
      <scheme val="minor"/>
    </font>
    <font>
      <sz val="11"/>
      <color indexed="29"/>
      <name val="MetaNormalCyrLF-Roman"/>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0"/>
      <name val="Courier"/>
      <family val="1"/>
      <charset val="204"/>
    </font>
    <font>
      <sz val="10"/>
      <name val="Arial Cyr"/>
      <family val="2"/>
      <charset val="204"/>
    </font>
    <font>
      <b/>
      <sz val="10"/>
      <name val="Arial Cyr"/>
      <family val="2"/>
      <charset val="204"/>
    </font>
    <font>
      <sz val="11"/>
      <color indexed="10"/>
      <name val="Calibri"/>
      <family val="2"/>
      <charset val="204"/>
    </font>
    <font>
      <sz val="11"/>
      <color indexed="17"/>
      <name val="Calibri"/>
      <family val="2"/>
      <charset val="204"/>
    </font>
    <font>
      <sz val="8"/>
      <name val="Arial Cyr"/>
      <family val="2"/>
      <charset val="204"/>
    </font>
    <font>
      <sz val="10"/>
      <name val="Arial"/>
      <family val="2"/>
      <charset val="204"/>
    </font>
    <font>
      <sz val="11"/>
      <color rgb="FF1F497D"/>
      <name val="Calibri"/>
      <family val="2"/>
      <charset val="204"/>
    </font>
    <font>
      <i/>
      <sz val="12"/>
      <color rgb="FFFF0000"/>
      <name val="Arial Narrow"/>
      <family val="2"/>
      <charset val="204"/>
    </font>
    <font>
      <i/>
      <sz val="11"/>
      <color theme="3" tint="0.59999389629810485"/>
      <name val="Calibri"/>
      <family val="2"/>
      <charset val="204"/>
      <scheme val="minor"/>
    </font>
    <font>
      <u/>
      <sz val="11"/>
      <color theme="1"/>
      <name val="Calibri"/>
      <family val="2"/>
      <charset val="204"/>
      <scheme val="minor"/>
    </font>
    <font>
      <b/>
      <sz val="9"/>
      <color indexed="53"/>
      <name val="Calibri"/>
      <family val="2"/>
      <charset val="204"/>
      <scheme val="minor"/>
    </font>
    <font>
      <b/>
      <sz val="9"/>
      <name val="Calibri"/>
      <family val="2"/>
      <charset val="204"/>
      <scheme val="minor"/>
    </font>
    <font>
      <sz val="9"/>
      <name val="Calibri"/>
      <family val="2"/>
      <charset val="204"/>
      <scheme val="minor"/>
    </font>
    <font>
      <i/>
      <sz val="9"/>
      <color rgb="FF00B050"/>
      <name val="Arial Narrow"/>
      <family val="2"/>
      <charset val="204"/>
    </font>
    <font>
      <b/>
      <sz val="10"/>
      <name val="Arial"/>
      <family val="2"/>
      <charset val="204"/>
    </font>
    <font>
      <b/>
      <sz val="8"/>
      <name val="Arial"/>
      <family val="2"/>
      <charset val="204"/>
    </font>
    <font>
      <i/>
      <sz val="10"/>
      <color theme="0" tint="-0.34998626667073579"/>
      <name val="Arial Narrow"/>
      <family val="2"/>
      <charset val="204"/>
    </font>
    <font>
      <i/>
      <sz val="10"/>
      <color theme="3"/>
      <name val="Arial Narrow"/>
      <family val="2"/>
      <charset val="204"/>
    </font>
    <font>
      <sz val="9"/>
      <color theme="3"/>
      <name val="Arial Narrow"/>
      <family val="2"/>
      <charset val="204"/>
    </font>
    <font>
      <sz val="9"/>
      <color theme="0" tint="-0.34998626667073579"/>
      <name val="Arial Narrow"/>
      <family val="2"/>
      <charset val="204"/>
    </font>
    <font>
      <b/>
      <sz val="12"/>
      <color rgb="FF000000"/>
      <name val="Arial Narrow"/>
      <family val="2"/>
      <charset val="204"/>
    </font>
    <font>
      <b/>
      <sz val="12"/>
      <color rgb="FFA6A6A6"/>
      <name val="Arial Narrow"/>
      <family val="2"/>
      <charset val="204"/>
    </font>
    <font>
      <b/>
      <sz val="12"/>
      <color rgb="FFC00000"/>
      <name val="Arial Narrow"/>
      <family val="2"/>
      <charset val="204"/>
    </font>
    <font>
      <sz val="12"/>
      <color rgb="FF000000"/>
      <name val="Arial Narrow"/>
      <family val="2"/>
      <charset val="204"/>
    </font>
    <font>
      <sz val="12"/>
      <color rgb="FFC00000"/>
      <name val="Arial Narrow"/>
      <family val="2"/>
      <charset val="204"/>
    </font>
    <font>
      <sz val="12"/>
      <color rgb="FFA6A6A6"/>
      <name val="Arial Narrow"/>
      <family val="2"/>
      <charset val="204"/>
    </font>
    <font>
      <i/>
      <sz val="12"/>
      <name val="Arial Narrow"/>
      <family val="2"/>
      <charset val="204"/>
    </font>
    <font>
      <u/>
      <sz val="10"/>
      <color theme="10"/>
      <name val="Arial Cyr"/>
      <charset val="204"/>
    </font>
    <font>
      <sz val="10"/>
      <color rgb="FFFF0000"/>
      <name val="Arial Cyr"/>
      <charset val="204"/>
    </font>
    <font>
      <b/>
      <sz val="8"/>
      <color rgb="FFFF0000"/>
      <name val="Arial"/>
      <family val="2"/>
    </font>
    <font>
      <sz val="10"/>
      <color rgb="FFFF0000"/>
      <name val="Arial"/>
      <family val="2"/>
    </font>
    <font>
      <i/>
      <sz val="10"/>
      <color rgb="FFFF0000"/>
      <name val="Arial Narrow"/>
      <family val="2"/>
      <charset val="204"/>
    </font>
    <font>
      <sz val="12"/>
      <color rgb="FFFF0000"/>
      <name val="Arial Narrow"/>
      <family val="2"/>
      <charset val="204"/>
    </font>
    <font>
      <i/>
      <sz val="9"/>
      <color rgb="FFFF0000"/>
      <name val="Arial Narrow"/>
      <family val="2"/>
      <charset val="204"/>
    </font>
  </fonts>
  <fills count="3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79998168889431442"/>
        <bgColor theme="9" tint="0.79998168889431442"/>
      </patternFill>
    </fill>
    <fill>
      <patternFill patternType="solid">
        <fgColor indexed="9"/>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4.9989318521683403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6" tint="0.79998168889431442"/>
        <bgColor indexed="64"/>
      </patternFill>
    </fill>
  </fills>
  <borders count="63">
    <border>
      <left/>
      <right/>
      <top/>
      <bottom/>
      <diagonal/>
    </border>
    <border>
      <left/>
      <right/>
      <top style="thin">
        <color indexed="64"/>
      </top>
      <bottom/>
      <diagonal/>
    </border>
    <border>
      <left/>
      <right/>
      <top/>
      <bottom style="thin">
        <color indexed="64"/>
      </bottom>
      <diagonal/>
    </border>
    <border>
      <left style="dotted">
        <color theme="3"/>
      </left>
      <right style="dotted">
        <color theme="3"/>
      </right>
      <top style="dotted">
        <color theme="3"/>
      </top>
      <bottom style="dotted">
        <color theme="3"/>
      </bottom>
      <diagonal/>
    </border>
    <border>
      <left/>
      <right style="dotted">
        <color theme="3"/>
      </right>
      <top style="dotted">
        <color theme="3"/>
      </top>
      <bottom style="dotted">
        <color theme="3"/>
      </bottom>
      <diagonal/>
    </border>
    <border>
      <left style="dotted">
        <color theme="3"/>
      </left>
      <right style="dashDot">
        <color theme="3"/>
      </right>
      <top style="dotted">
        <color theme="3"/>
      </top>
      <bottom style="dotted">
        <color theme="3"/>
      </bottom>
      <diagonal/>
    </border>
    <border>
      <left style="dashDot">
        <color theme="3"/>
      </left>
      <right style="dotted">
        <color theme="3"/>
      </right>
      <top style="dotted">
        <color theme="3"/>
      </top>
      <bottom style="dotted">
        <color theme="3"/>
      </bottom>
      <diagonal/>
    </border>
    <border>
      <left/>
      <right style="dashDot">
        <color theme="3"/>
      </right>
      <top/>
      <bottom/>
      <diagonal/>
    </border>
    <border>
      <left style="dashDot">
        <color theme="3"/>
      </left>
      <right/>
      <top/>
      <bottom/>
      <diagonal/>
    </border>
    <border>
      <left style="dotted">
        <color theme="3"/>
      </left>
      <right/>
      <top style="dotted">
        <color theme="3"/>
      </top>
      <bottom style="dotted">
        <color theme="3"/>
      </bottom>
      <diagonal/>
    </border>
    <border>
      <left/>
      <right/>
      <top/>
      <bottom style="double">
        <color indexed="64"/>
      </bottom>
      <diagonal/>
    </border>
    <border>
      <left/>
      <right style="dashDot">
        <color theme="3"/>
      </right>
      <top/>
      <bottom style="double">
        <color indexed="64"/>
      </bottom>
      <diagonal/>
    </border>
    <border>
      <left style="dashDot">
        <color theme="3"/>
      </left>
      <right/>
      <top/>
      <bottom style="double">
        <color indexed="64"/>
      </bottom>
      <diagonal/>
    </border>
    <border>
      <left/>
      <right/>
      <top style="thin">
        <color indexed="64"/>
      </top>
      <bottom style="double">
        <color indexed="64"/>
      </bottom>
      <diagonal/>
    </border>
    <border>
      <left/>
      <right/>
      <top style="medium">
        <color indexed="18"/>
      </top>
      <bottom style="medium">
        <color indexed="18"/>
      </bottom>
      <diagonal/>
    </border>
    <border>
      <left/>
      <right style="dashDot">
        <color theme="3"/>
      </right>
      <top style="medium">
        <color indexed="18"/>
      </top>
      <bottom style="medium">
        <color indexed="18"/>
      </bottom>
      <diagonal/>
    </border>
    <border>
      <left style="dashDot">
        <color theme="3"/>
      </left>
      <right/>
      <top style="medium">
        <color indexed="18"/>
      </top>
      <bottom style="medium">
        <color indexed="18"/>
      </bottom>
      <diagonal/>
    </border>
    <border>
      <left/>
      <right/>
      <top/>
      <bottom style="thin">
        <color indexed="18"/>
      </bottom>
      <diagonal/>
    </border>
    <border>
      <left style="dotted">
        <color theme="3"/>
      </left>
      <right style="dotted">
        <color theme="3"/>
      </right>
      <top style="dotted">
        <color theme="3"/>
      </top>
      <bottom/>
      <diagonal/>
    </border>
    <border>
      <left style="dotted">
        <color theme="3"/>
      </left>
      <right style="dashDot">
        <color theme="3"/>
      </right>
      <top style="dotted">
        <color theme="3"/>
      </top>
      <bottom/>
      <diagonal/>
    </border>
    <border>
      <left style="dashDot">
        <color theme="3"/>
      </left>
      <right style="dotted">
        <color theme="3"/>
      </right>
      <top style="dotted">
        <color theme="3"/>
      </top>
      <bottom/>
      <diagonal/>
    </border>
    <border>
      <left/>
      <right/>
      <top style="thin">
        <color theme="3"/>
      </top>
      <bottom style="double">
        <color theme="3"/>
      </bottom>
      <diagonal/>
    </border>
    <border>
      <left/>
      <right style="dashDot">
        <color theme="3"/>
      </right>
      <top style="thin">
        <color theme="3"/>
      </top>
      <bottom style="double">
        <color theme="3"/>
      </bottom>
      <diagonal/>
    </border>
    <border>
      <left style="dashDot">
        <color theme="3"/>
      </left>
      <right/>
      <top style="thin">
        <color theme="3"/>
      </top>
      <bottom style="double">
        <color theme="3"/>
      </bottom>
      <diagonal/>
    </border>
    <border>
      <left style="dotted">
        <color theme="3"/>
      </left>
      <right style="dotted">
        <color theme="3"/>
      </right>
      <top/>
      <bottom style="dotted">
        <color theme="3"/>
      </bottom>
      <diagonal/>
    </border>
    <border>
      <left style="dotted">
        <color theme="3"/>
      </left>
      <right style="dashDot">
        <color theme="3"/>
      </right>
      <top/>
      <bottom style="dotted">
        <color theme="3"/>
      </bottom>
      <diagonal/>
    </border>
    <border>
      <left style="dashDot">
        <color theme="3"/>
      </left>
      <right style="dotted">
        <color theme="3"/>
      </right>
      <top/>
      <bottom style="dotted">
        <color theme="3"/>
      </bottom>
      <diagonal/>
    </border>
    <border>
      <left/>
      <right/>
      <top style="medium">
        <color indexed="18"/>
      </top>
      <bottom/>
      <diagonal/>
    </border>
    <border>
      <left/>
      <right style="dashDot">
        <color theme="3"/>
      </right>
      <top style="medium">
        <color indexed="18"/>
      </top>
      <bottom/>
      <diagonal/>
    </border>
    <border>
      <left style="dashDot">
        <color theme="3"/>
      </left>
      <right/>
      <top style="medium">
        <color indexed="18"/>
      </top>
      <bottom/>
      <diagonal/>
    </border>
    <border>
      <left/>
      <right/>
      <top/>
      <bottom style="medium">
        <color indexed="18"/>
      </bottom>
      <diagonal/>
    </border>
    <border>
      <left/>
      <right style="hair">
        <color rgb="FFFF0000"/>
      </right>
      <top style="hair">
        <color rgb="FFFF0000"/>
      </top>
      <bottom style="hair">
        <color rgb="FFFF0000"/>
      </bottom>
      <diagonal/>
    </border>
    <border>
      <left style="hair">
        <color indexed="18"/>
      </left>
      <right style="hair">
        <color indexed="18"/>
      </right>
      <top style="hair">
        <color indexed="18"/>
      </top>
      <bottom/>
      <diagonal/>
    </border>
    <border>
      <left style="dashDot">
        <color theme="3"/>
      </left>
      <right style="hair">
        <color indexed="18"/>
      </right>
      <top style="hair">
        <color indexed="18"/>
      </top>
      <bottom/>
      <diagonal/>
    </border>
    <border>
      <left/>
      <right/>
      <top style="medium">
        <color indexed="17"/>
      </top>
      <bottom/>
      <diagonal/>
    </border>
    <border>
      <left style="dashDot">
        <color theme="3"/>
      </left>
      <right/>
      <top style="medium">
        <color indexed="17"/>
      </top>
      <bottom/>
      <diagonal/>
    </border>
    <border>
      <left/>
      <right/>
      <top style="dashDot">
        <color theme="3"/>
      </top>
      <bottom style="medium">
        <color indexed="18"/>
      </bottom>
      <diagonal/>
    </border>
    <border>
      <left style="dashDot">
        <color theme="3"/>
      </left>
      <right/>
      <top style="dashDot">
        <color theme="3"/>
      </top>
      <bottom style="medium">
        <color indexed="18"/>
      </bottom>
      <diagonal/>
    </border>
    <border>
      <left style="hair">
        <color rgb="FFFF0000"/>
      </left>
      <right/>
      <top style="hair">
        <color rgb="FFFF0000"/>
      </top>
      <bottom style="hair">
        <color rgb="FFFF0000"/>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8"/>
      </right>
      <top style="thin">
        <color indexed="8"/>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18"/>
      </left>
      <right/>
      <top style="thin">
        <color indexed="18"/>
      </top>
      <bottom/>
      <diagonal/>
    </border>
    <border>
      <left/>
      <right/>
      <top style="thin">
        <color indexed="18"/>
      </top>
      <bottom/>
      <diagonal/>
    </border>
    <border>
      <left/>
      <right style="thick">
        <color indexed="18"/>
      </right>
      <top style="thin">
        <color indexed="18"/>
      </top>
      <bottom/>
      <diagonal/>
    </border>
    <border>
      <left style="thin">
        <color indexed="18"/>
      </left>
      <right/>
      <top/>
      <bottom/>
      <diagonal/>
    </border>
    <border>
      <left/>
      <right style="thick">
        <color indexed="18"/>
      </right>
      <top/>
      <bottom/>
      <diagonal/>
    </border>
    <border>
      <left style="thin">
        <color indexed="18"/>
      </left>
      <right/>
      <top/>
      <bottom style="thick">
        <color indexed="18"/>
      </bottom>
      <diagonal/>
    </border>
    <border>
      <left/>
      <right/>
      <top/>
      <bottom style="thick">
        <color indexed="18"/>
      </bottom>
      <diagonal/>
    </border>
    <border>
      <left/>
      <right style="thick">
        <color indexed="18"/>
      </right>
      <top/>
      <bottom style="thick">
        <color indexed="18"/>
      </bottom>
      <diagonal/>
    </border>
    <border>
      <left style="dashed">
        <color theme="3"/>
      </left>
      <right/>
      <top style="dashed">
        <color theme="3"/>
      </top>
      <bottom style="dashed">
        <color theme="3"/>
      </bottom>
      <diagonal/>
    </border>
    <border>
      <left/>
      <right style="dashed">
        <color theme="3"/>
      </right>
      <top style="dashed">
        <color theme="3"/>
      </top>
      <bottom style="dashed">
        <color theme="3"/>
      </bottom>
      <diagonal/>
    </border>
  </borders>
  <cellStyleXfs count="7953">
    <xf numFmtId="0" fontId="0" fillId="0" borderId="0"/>
    <xf numFmtId="9" fontId="2" fillId="0" borderId="0" applyFont="0" applyFill="0" applyBorder="0" applyAlignment="0" applyProtection="0"/>
    <xf numFmtId="167" fontId="3" fillId="0" borderId="0" applyFont="0" applyFill="0" applyBorder="0" applyAlignment="0" applyProtection="0"/>
    <xf numFmtId="9" fontId="5" fillId="0" borderId="0" applyFont="0" applyFill="0" applyBorder="0" applyAlignment="0" applyProtection="0"/>
    <xf numFmtId="0" fontId="5" fillId="0" borderId="0"/>
    <xf numFmtId="0" fontId="4" fillId="0" borderId="0"/>
    <xf numFmtId="0" fontId="4" fillId="0" borderId="0"/>
    <xf numFmtId="0" fontId="8" fillId="0" borderId="0"/>
    <xf numFmtId="0" fontId="3" fillId="0" borderId="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1" fontId="13" fillId="0" borderId="0" applyFont="0" applyFill="0" applyBorder="0" applyAlignment="0" applyProtection="0"/>
    <xf numFmtId="181" fontId="13" fillId="0" borderId="0" applyFont="0" applyFill="0" applyBorder="0" applyAlignment="0" applyProtection="0"/>
    <xf numFmtId="181" fontId="13" fillId="0" borderId="0" applyFont="0" applyFill="0" applyBorder="0" applyAlignment="0" applyProtection="0"/>
    <xf numFmtId="0" fontId="14" fillId="0" borderId="0"/>
    <xf numFmtId="38" fontId="15" fillId="0" borderId="0" applyFont="0" applyFill="0" applyBorder="0" applyAlignment="0" applyProtection="0"/>
    <xf numFmtId="40" fontId="15" fillId="0" borderId="0" applyFont="0" applyFill="0" applyBorder="0" applyAlignment="0" applyProtection="0"/>
    <xf numFmtId="182" fontId="16" fillId="0" borderId="0" applyFont="0" applyFill="0" applyBorder="0" applyAlignment="0" applyProtection="0"/>
    <xf numFmtId="0" fontId="4" fillId="0" borderId="0"/>
    <xf numFmtId="183" fontId="17" fillId="6" borderId="0" applyFont="0" applyFill="0" applyBorder="0" applyAlignment="0" applyProtection="0"/>
    <xf numFmtId="184" fontId="17" fillId="6" borderId="0" applyFont="0" applyFill="0" applyBorder="0" applyAlignment="0" applyProtection="0"/>
    <xf numFmtId="0" fontId="15" fillId="0" borderId="0"/>
    <xf numFmtId="185" fontId="18" fillId="0" borderId="0" applyBorder="0">
      <alignment horizontal="right"/>
    </xf>
    <xf numFmtId="180" fontId="13" fillId="0" borderId="0" applyFont="0" applyFill="0" applyBorder="0" applyAlignment="0" applyProtection="0"/>
    <xf numFmtId="186" fontId="15" fillId="0" borderId="0" applyFont="0" applyFill="0" applyBorder="0" applyAlignment="0" applyProtection="0"/>
    <xf numFmtId="187" fontId="15" fillId="0" borderId="0" applyFont="0" applyFill="0" applyBorder="0" applyAlignment="0" applyProtection="0"/>
    <xf numFmtId="9" fontId="4" fillId="0" borderId="0" applyFont="0" applyFill="0" applyBorder="0" applyAlignment="0" applyProtection="0"/>
    <xf numFmtId="165" fontId="2" fillId="0" borderId="0" applyFont="0" applyFill="0" applyBorder="0" applyAlignment="0" applyProtection="0"/>
    <xf numFmtId="0" fontId="2" fillId="0" borderId="0"/>
    <xf numFmtId="192" fontId="38" fillId="0" borderId="0" applyFont="0" applyFill="0" applyBorder="0" applyAlignment="0" applyProtection="0"/>
    <xf numFmtId="0" fontId="32" fillId="0" borderId="0" applyNumberFormat="0" applyFill="0" applyBorder="0" applyAlignment="0" applyProtection="0">
      <alignment vertical="top"/>
      <protection locked="0"/>
    </xf>
    <xf numFmtId="3" fontId="41" fillId="0" borderId="0"/>
    <xf numFmtId="0" fontId="42" fillId="0" borderId="0"/>
    <xf numFmtId="193" fontId="43"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169" fontId="43" fillId="0" borderId="0"/>
    <xf numFmtId="166" fontId="43" fillId="0" borderId="0"/>
    <xf numFmtId="2" fontId="43" fillId="0" borderId="0"/>
    <xf numFmtId="10" fontId="43" fillId="0" borderId="0"/>
    <xf numFmtId="0" fontId="44" fillId="8" borderId="0" applyNumberFormat="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37" fontId="46" fillId="0" borderId="0">
      <alignment horizontal="center"/>
    </xf>
    <xf numFmtId="0" fontId="47" fillId="0" borderId="0" applyNumberFormat="0" applyFont="0" applyFill="0" applyBorder="0" applyProtection="0">
      <alignment horizontal="centerContinuous"/>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8" fillId="0" borderId="40" applyNumberFormat="0" applyFill="0" applyBorder="0" applyAlignment="0" applyProtection="0"/>
    <xf numFmtId="0" fontId="37" fillId="0" borderId="40" applyNumberFormat="0" applyFill="0" applyBorder="0" applyAlignment="0" applyProtection="0"/>
    <xf numFmtId="0" fontId="49" fillId="0" borderId="40" applyNumberFormat="0" applyFill="0" applyBorder="0" applyAlignment="0" applyProtection="0"/>
    <xf numFmtId="0" fontId="50" fillId="0" borderId="40" applyNumberFormat="0" applyFill="0" applyAlignment="0" applyProtection="0"/>
    <xf numFmtId="37" fontId="51" fillId="0" borderId="0" applyFont="0" applyFill="0" applyBorder="0" applyAlignment="0" applyProtection="0"/>
    <xf numFmtId="0" fontId="52" fillId="0" borderId="0" applyNumberFormat="0" applyFill="0" applyBorder="0" applyAlignment="0" applyProtection="0"/>
    <xf numFmtId="0" fontId="47" fillId="0" borderId="2" applyNumberFormat="0" applyFont="0" applyFill="0" applyAlignment="0" applyProtection="0"/>
    <xf numFmtId="0" fontId="47" fillId="0" borderId="0" applyNumberFormat="0" applyFont="0" applyFill="0" applyBorder="0" applyProtection="0">
      <alignment horizontal="center"/>
    </xf>
    <xf numFmtId="1" fontId="53" fillId="0" borderId="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65" fontId="51" fillId="0" borderId="0" applyFont="0" applyFill="0" applyBorder="0" applyAlignment="0" applyProtection="0"/>
    <xf numFmtId="175" fontId="51" fillId="0" borderId="0" applyFont="0" applyFill="0" applyBorder="0" applyAlignment="0" applyProtection="0"/>
    <xf numFmtId="194" fontId="4" fillId="0" borderId="0" applyFont="0" applyFill="0" applyBorder="0" applyAlignment="0" applyProtection="0"/>
    <xf numFmtId="164" fontId="4"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95" fontId="54" fillId="0" borderId="41">
      <protection locked="0"/>
    </xf>
    <xf numFmtId="164" fontId="54" fillId="0" borderId="41">
      <protection locked="0"/>
    </xf>
    <xf numFmtId="14" fontId="55" fillId="0" borderId="39" applyFont="0">
      <alignment horizontal="right"/>
    </xf>
    <xf numFmtId="0" fontId="56" fillId="0" borderId="0"/>
    <xf numFmtId="0" fontId="57" fillId="0" borderId="0" applyFont="0" applyFill="0" applyBorder="0" applyAlignment="0" applyProtection="0">
      <protection locked="0"/>
    </xf>
    <xf numFmtId="0" fontId="47" fillId="0" borderId="10" applyNumberFormat="0" applyFont="0" applyFill="0" applyAlignment="0" applyProtection="0"/>
    <xf numFmtId="196" fontId="4" fillId="0" borderId="0" applyProtection="0"/>
    <xf numFmtId="0" fontId="58" fillId="0" borderId="42" applyNumberFormat="0" applyAlignment="0" applyProtection="0">
      <alignment horizontal="left" vertical="center"/>
    </xf>
    <xf numFmtId="0" fontId="58" fillId="0" borderId="39">
      <alignment horizontal="left" vertical="center"/>
    </xf>
    <xf numFmtId="194" fontId="59" fillId="0" borderId="0" applyNumberFormat="0" applyAlignment="0">
      <alignment horizontal="left"/>
    </xf>
    <xf numFmtId="197" fontId="59" fillId="0" borderId="0" applyFont="0" applyFill="0" applyBorder="0" applyProtection="0"/>
    <xf numFmtId="198" fontId="4" fillId="0" borderId="0"/>
    <xf numFmtId="198" fontId="4" fillId="0" borderId="0"/>
    <xf numFmtId="198"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2" fillId="0" borderId="0"/>
    <xf numFmtId="0" fontId="51"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198" fontId="2"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98" fontId="4" fillId="0" borderId="0">
      <alignment vertical="center"/>
    </xf>
    <xf numFmtId="198" fontId="4" fillId="0" borderId="0"/>
    <xf numFmtId="198" fontId="4" fillId="0" borderId="0"/>
    <xf numFmtId="198" fontId="4" fillId="0" borderId="0"/>
    <xf numFmtId="198" fontId="4" fillId="0" borderId="0"/>
    <xf numFmtId="198" fontId="4" fillId="0" borderId="0"/>
    <xf numFmtId="198" fontId="4" fillId="0" borderId="0"/>
    <xf numFmtId="0" fontId="13" fillId="0" borderId="0"/>
    <xf numFmtId="0" fontId="60" fillId="0" borderId="0" applyNumberFormat="0" applyFill="0" applyBorder="0" applyAlignment="0" applyProtection="0"/>
    <xf numFmtId="191" fontId="61" fillId="0" borderId="0" applyNumberFormat="0" applyFill="0" applyBorder="0" applyAlignment="0" applyProtection="0"/>
    <xf numFmtId="192" fontId="62" fillId="0" borderId="0" applyFont="0" applyFill="0" applyBorder="0" applyAlignment="0" applyProtection="0"/>
    <xf numFmtId="199" fontId="62" fillId="0" borderId="0" applyFont="0" applyFill="0" applyBorder="0" applyAlignment="0" applyProtection="0"/>
    <xf numFmtId="0" fontId="63" fillId="0" borderId="0">
      <alignment horizontal="left"/>
    </xf>
    <xf numFmtId="0" fontId="47" fillId="0" borderId="43" applyNumberFormat="0" applyFont="0" applyFill="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4" fillId="0" borderId="40" applyNumberFormat="0" applyFill="0" applyBorder="0" applyAlignment="0" applyProtection="0"/>
    <xf numFmtId="200" fontId="65" fillId="0" borderId="0" applyBorder="0" applyProtection="0">
      <alignment horizontal="right"/>
    </xf>
    <xf numFmtId="201" fontId="65" fillId="0" borderId="0" applyBorder="0" applyProtection="0">
      <alignment horizontal="right"/>
    </xf>
    <xf numFmtId="0" fontId="56" fillId="0" borderId="0" applyNumberFormat="0"/>
    <xf numFmtId="202" fontId="66" fillId="6" borderId="0">
      <alignment horizontal="right"/>
    </xf>
    <xf numFmtId="0" fontId="67" fillId="0" borderId="40" applyNumberFormat="0" applyFill="0" applyBorder="0" applyAlignment="0" applyProtection="0"/>
    <xf numFmtId="0" fontId="68" fillId="0" borderId="40" applyNumberFormat="0" applyFill="0" applyBorder="0" applyAlignment="0" applyProtection="0"/>
    <xf numFmtId="0" fontId="69" fillId="0" borderId="40" applyNumberFormat="0" applyFill="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70" fillId="13" borderId="44" applyNumberFormat="0" applyAlignment="0" applyProtection="0"/>
    <xf numFmtId="0" fontId="70" fillId="13" borderId="44" applyNumberFormat="0" applyAlignment="0" applyProtection="0"/>
    <xf numFmtId="0" fontId="70" fillId="13" borderId="44" applyNumberFormat="0" applyAlignment="0" applyProtection="0"/>
    <xf numFmtId="0" fontId="70" fillId="13" borderId="44" applyNumberFormat="0" applyAlignment="0" applyProtection="0"/>
    <xf numFmtId="0" fontId="70" fillId="13" borderId="44" applyNumberFormat="0" applyAlignment="0" applyProtection="0"/>
    <xf numFmtId="0" fontId="70" fillId="13" borderId="44" applyNumberFormat="0" applyAlignment="0" applyProtection="0"/>
    <xf numFmtId="0" fontId="70" fillId="13" borderId="44" applyNumberFormat="0" applyAlignment="0" applyProtection="0"/>
    <xf numFmtId="0" fontId="70" fillId="13" borderId="44" applyNumberFormat="0" applyAlignment="0" applyProtection="0"/>
    <xf numFmtId="0" fontId="71" fillId="26" borderId="45" applyNumberFormat="0" applyAlignment="0" applyProtection="0"/>
    <xf numFmtId="0" fontId="71" fillId="26" borderId="45" applyNumberFormat="0" applyAlignment="0" applyProtection="0"/>
    <xf numFmtId="0" fontId="71" fillId="26" borderId="45" applyNumberFormat="0" applyAlignment="0" applyProtection="0"/>
    <xf numFmtId="0" fontId="71" fillId="26" borderId="45" applyNumberFormat="0" applyAlignment="0" applyProtection="0"/>
    <xf numFmtId="0" fontId="71" fillId="26" borderId="45" applyNumberFormat="0" applyAlignment="0" applyProtection="0"/>
    <xf numFmtId="0" fontId="71" fillId="26" borderId="45" applyNumberFormat="0" applyAlignment="0" applyProtection="0"/>
    <xf numFmtId="0" fontId="71" fillId="26" borderId="45" applyNumberFormat="0" applyAlignment="0" applyProtection="0"/>
    <xf numFmtId="0" fontId="71" fillId="26" borderId="45" applyNumberFormat="0" applyAlignment="0" applyProtection="0"/>
    <xf numFmtId="0" fontId="72" fillId="26" borderId="44" applyNumberFormat="0" applyAlignment="0" applyProtection="0"/>
    <xf numFmtId="0" fontId="72" fillId="26" borderId="44" applyNumberFormat="0" applyAlignment="0" applyProtection="0"/>
    <xf numFmtId="0" fontId="72" fillId="26" borderId="44" applyNumberFormat="0" applyAlignment="0" applyProtection="0"/>
    <xf numFmtId="0" fontId="72" fillId="26" borderId="44" applyNumberFormat="0" applyAlignment="0" applyProtection="0"/>
    <xf numFmtId="0" fontId="72" fillId="26" borderId="44" applyNumberFormat="0" applyAlignment="0" applyProtection="0"/>
    <xf numFmtId="0" fontId="72" fillId="26" borderId="44" applyNumberFormat="0" applyAlignment="0" applyProtection="0"/>
    <xf numFmtId="0" fontId="72" fillId="26" borderId="44" applyNumberFormat="0" applyAlignment="0" applyProtection="0"/>
    <xf numFmtId="0" fontId="72" fillId="26" borderId="44" applyNumberFormat="0" applyAlignment="0" applyProtection="0"/>
    <xf numFmtId="0" fontId="73" fillId="0" borderId="46" applyNumberFormat="0" applyFill="0" applyAlignment="0" applyProtection="0"/>
    <xf numFmtId="0" fontId="73" fillId="0" borderId="46" applyNumberFormat="0" applyFill="0" applyAlignment="0" applyProtection="0"/>
    <xf numFmtId="0" fontId="73" fillId="0" borderId="46" applyNumberFormat="0" applyFill="0" applyAlignment="0" applyProtection="0"/>
    <xf numFmtId="0" fontId="73" fillId="0" borderId="46" applyNumberFormat="0" applyFill="0" applyAlignment="0" applyProtection="0"/>
    <xf numFmtId="0" fontId="73" fillId="0" borderId="46" applyNumberFormat="0" applyFill="0" applyAlignment="0" applyProtection="0"/>
    <xf numFmtId="0" fontId="73" fillId="0" borderId="46" applyNumberFormat="0" applyFill="0" applyAlignment="0" applyProtection="0"/>
    <xf numFmtId="0" fontId="73" fillId="0" borderId="46" applyNumberFormat="0" applyFill="0" applyAlignment="0" applyProtection="0"/>
    <xf numFmtId="0" fontId="73" fillId="0" borderId="46"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4" fillId="0" borderId="47"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7" fillId="27" borderId="50" applyNumberFormat="0" applyAlignment="0" applyProtection="0"/>
    <xf numFmtId="0" fontId="77" fillId="27" borderId="50" applyNumberFormat="0" applyAlignment="0" applyProtection="0"/>
    <xf numFmtId="0" fontId="77" fillId="27" borderId="50" applyNumberFormat="0" applyAlignment="0" applyProtection="0"/>
    <xf numFmtId="0" fontId="77" fillId="27" borderId="50" applyNumberFormat="0" applyAlignment="0" applyProtection="0"/>
    <xf numFmtId="0" fontId="77" fillId="27" borderId="50" applyNumberFormat="0" applyAlignment="0" applyProtection="0"/>
    <xf numFmtId="0" fontId="77" fillId="27" borderId="50" applyNumberFormat="0" applyAlignment="0" applyProtection="0"/>
    <xf numFmtId="0" fontId="77" fillId="27" borderId="50" applyNumberFormat="0" applyAlignment="0" applyProtection="0"/>
    <xf numFmtId="0" fontId="77" fillId="27" borderId="50" applyNumberFormat="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1" fillId="0" borderId="0"/>
    <xf numFmtId="0" fontId="81" fillId="0" borderId="0"/>
    <xf numFmtId="0" fontId="4" fillId="0" borderId="0"/>
    <xf numFmtId="0" fontId="8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1" fillId="0" borderId="0"/>
    <xf numFmtId="0" fontId="4" fillId="0" borderId="0"/>
    <xf numFmtId="0" fontId="81"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0" borderId="0"/>
    <xf numFmtId="0" fontId="82" fillId="0" borderId="0"/>
    <xf numFmtId="0" fontId="82" fillId="0" borderId="0"/>
    <xf numFmtId="0" fontId="82" fillId="0" borderId="0"/>
    <xf numFmtId="0" fontId="8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0" borderId="0"/>
    <xf numFmtId="0" fontId="82" fillId="0" borderId="0"/>
    <xf numFmtId="0" fontId="82" fillId="0" borderId="0"/>
    <xf numFmtId="0" fontId="82" fillId="0" borderId="0"/>
    <xf numFmtId="0" fontId="8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1" fillId="0" borderId="0"/>
    <xf numFmtId="0" fontId="4" fillId="0" borderId="0"/>
    <xf numFmtId="0" fontId="81" fillId="0" borderId="0"/>
    <xf numFmtId="0" fontId="4" fillId="0" borderId="0"/>
    <xf numFmtId="0" fontId="81" fillId="0" borderId="0"/>
    <xf numFmtId="0" fontId="4" fillId="0" borderId="0"/>
    <xf numFmtId="0" fontId="8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13" fillId="29" borderId="51" applyNumberFormat="0" applyFont="0" applyAlignment="0" applyProtection="0"/>
    <xf numFmtId="0" fontId="13" fillId="29" borderId="51" applyNumberFormat="0" applyFont="0" applyAlignment="0" applyProtection="0"/>
    <xf numFmtId="0" fontId="13" fillId="29" borderId="51" applyNumberFormat="0" applyFont="0" applyAlignment="0" applyProtection="0"/>
    <xf numFmtId="0" fontId="13" fillId="29" borderId="51" applyNumberFormat="0" applyFont="0" applyAlignment="0" applyProtection="0"/>
    <xf numFmtId="0" fontId="13" fillId="29" borderId="51" applyNumberFormat="0" applyFont="0" applyAlignment="0" applyProtection="0"/>
    <xf numFmtId="0" fontId="13" fillId="29" borderId="51" applyNumberFormat="0" applyFont="0" applyAlignment="0" applyProtection="0"/>
    <xf numFmtId="0" fontId="13" fillId="29" borderId="51" applyNumberFormat="0" applyFont="0" applyAlignment="0" applyProtection="0"/>
    <xf numFmtId="0" fontId="13" fillId="29" borderId="51"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5" fillId="0" borderId="52" applyNumberFormat="0" applyFill="0" applyAlignment="0" applyProtection="0"/>
    <xf numFmtId="0" fontId="85" fillId="0" borderId="52" applyNumberFormat="0" applyFill="0" applyAlignment="0" applyProtection="0"/>
    <xf numFmtId="0" fontId="85" fillId="0" borderId="52" applyNumberFormat="0" applyFill="0" applyAlignment="0" applyProtection="0"/>
    <xf numFmtId="0" fontId="85" fillId="0" borderId="52" applyNumberFormat="0" applyFill="0" applyAlignment="0" applyProtection="0"/>
    <xf numFmtId="0" fontId="85" fillId="0" borderId="52" applyNumberFormat="0" applyFill="0" applyAlignment="0" applyProtection="0"/>
    <xf numFmtId="0" fontId="85" fillId="0" borderId="52" applyNumberFormat="0" applyFill="0" applyAlignment="0" applyProtection="0"/>
    <xf numFmtId="0" fontId="85" fillId="0" borderId="52" applyNumberFormat="0" applyFill="0" applyAlignment="0" applyProtection="0"/>
    <xf numFmtId="0" fontId="85" fillId="0" borderId="52" applyNumberFormat="0" applyFill="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3" fillId="0" borderId="0" applyFont="0" applyFill="0" applyBorder="0" applyAlignment="0" applyProtection="0"/>
    <xf numFmtId="0" fontId="12" fillId="0" borderId="0">
      <alignment vertical="center"/>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12" fillId="0" borderId="0">
      <alignment vertical="center"/>
    </xf>
    <xf numFmtId="0" fontId="12" fillId="0" borderId="0">
      <alignment vertical="center"/>
    </xf>
    <xf numFmtId="49" fontId="87" fillId="0" borderId="43" applyNumberFormat="0" applyFill="0" applyAlignment="0" applyProtection="0"/>
    <xf numFmtId="49" fontId="88" fillId="0" borderId="43"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203" fontId="13" fillId="0" borderId="0" applyFont="0" applyFill="0" applyBorder="0" applyAlignment="0" applyProtection="0"/>
    <xf numFmtId="204" fontId="13" fillId="0" borderId="0" applyFont="0" applyFill="0" applyBorder="0" applyAlignment="0" applyProtection="0"/>
    <xf numFmtId="165" fontId="4" fillId="0" borderId="0" applyFont="0" applyFill="0" applyBorder="0" applyAlignment="0" applyProtection="0"/>
    <xf numFmtId="175" fontId="4" fillId="0" borderId="0" applyFont="0" applyFill="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49" fontId="91" fillId="0" borderId="43" applyNumberFormat="0" applyFill="0" applyAlignment="0" applyProtection="0"/>
    <xf numFmtId="0" fontId="92" fillId="0" borderId="0"/>
    <xf numFmtId="0" fontId="38" fillId="0" borderId="0"/>
    <xf numFmtId="192" fontId="38" fillId="0" borderId="0" applyFont="0" applyFill="0" applyBorder="0" applyAlignment="0" applyProtection="0"/>
    <xf numFmtId="0" fontId="3" fillId="0" borderId="0"/>
    <xf numFmtId="0" fontId="13" fillId="0" borderId="0"/>
    <xf numFmtId="0" fontId="114" fillId="0" borderId="0" applyNumberFormat="0" applyFill="0" applyBorder="0" applyAlignment="0" applyProtection="0">
      <alignment vertical="top"/>
      <protection locked="0"/>
    </xf>
    <xf numFmtId="9" fontId="13" fillId="0" borderId="0" applyFont="0" applyFill="0" applyBorder="0" applyAlignment="0" applyProtection="0"/>
    <xf numFmtId="165" fontId="13" fillId="0" borderId="0" applyFont="0" applyFill="0" applyBorder="0" applyAlignment="0" applyProtection="0"/>
  </cellStyleXfs>
  <cellXfs count="423">
    <xf numFmtId="0" fontId="0" fillId="0" borderId="0" xfId="0"/>
    <xf numFmtId="0" fontId="0" fillId="0" borderId="0" xfId="0"/>
    <xf numFmtId="0" fontId="0" fillId="0" borderId="0" xfId="0" applyBorder="1"/>
    <xf numFmtId="0" fontId="5" fillId="0" borderId="0" xfId="8" applyFont="1" applyFill="1"/>
    <xf numFmtId="0" fontId="5" fillId="0" borderId="0" xfId="8" applyFont="1" applyFill="1" applyAlignment="1">
      <alignment horizontal="right"/>
    </xf>
    <xf numFmtId="0" fontId="5" fillId="0" borderId="0" xfId="6" applyFont="1" applyFill="1"/>
    <xf numFmtId="9" fontId="5" fillId="0" borderId="0" xfId="3" applyFont="1" applyFill="1" applyAlignment="1">
      <alignment horizontal="right"/>
    </xf>
    <xf numFmtId="2" fontId="5" fillId="0" borderId="0" xfId="8" applyNumberFormat="1" applyFont="1" applyFill="1"/>
    <xf numFmtId="2" fontId="5" fillId="0" borderId="0" xfId="8" applyNumberFormat="1" applyFont="1" applyFill="1" applyAlignment="1">
      <alignment horizontal="right"/>
    </xf>
    <xf numFmtId="0" fontId="5" fillId="0" borderId="0" xfId="8" applyFont="1" applyFill="1" applyAlignment="1">
      <alignment horizontal="left" indent="1"/>
    </xf>
    <xf numFmtId="0" fontId="9" fillId="0" borderId="0" xfId="8" applyFont="1" applyFill="1"/>
    <xf numFmtId="0" fontId="9" fillId="2" borderId="3" xfId="8" applyFont="1" applyFill="1" applyBorder="1"/>
    <xf numFmtId="170" fontId="9" fillId="2" borderId="3" xfId="6" applyNumberFormat="1" applyFont="1" applyFill="1" applyBorder="1"/>
    <xf numFmtId="170" fontId="9" fillId="2" borderId="4" xfId="6" applyNumberFormat="1" applyFont="1" applyFill="1" applyBorder="1"/>
    <xf numFmtId="170" fontId="9" fillId="2" borderId="5" xfId="6" applyNumberFormat="1" applyFont="1" applyFill="1" applyBorder="1"/>
    <xf numFmtId="170" fontId="9" fillId="2" borderId="6" xfId="6" applyNumberFormat="1" applyFont="1" applyFill="1" applyBorder="1"/>
    <xf numFmtId="170" fontId="9" fillId="0" borderId="0" xfId="6" applyNumberFormat="1" applyFont="1" applyFill="1"/>
    <xf numFmtId="170" fontId="9" fillId="0" borderId="7" xfId="6" applyNumberFormat="1" applyFont="1" applyFill="1" applyBorder="1"/>
    <xf numFmtId="170" fontId="9" fillId="0" borderId="0" xfId="6" applyNumberFormat="1" applyFont="1" applyFill="1" applyBorder="1"/>
    <xf numFmtId="170" fontId="9" fillId="0" borderId="8" xfId="6" applyNumberFormat="1" applyFont="1" applyFill="1" applyBorder="1"/>
    <xf numFmtId="0" fontId="0" fillId="0" borderId="0" xfId="8" applyFont="1" applyFill="1"/>
    <xf numFmtId="0" fontId="9" fillId="0" borderId="0" xfId="6" applyFont="1" applyFill="1"/>
    <xf numFmtId="170" fontId="9" fillId="3" borderId="3" xfId="6" applyNumberFormat="1" applyFont="1" applyFill="1" applyBorder="1"/>
    <xf numFmtId="170" fontId="9" fillId="3" borderId="5" xfId="6" applyNumberFormat="1" applyFont="1" applyFill="1" applyBorder="1"/>
    <xf numFmtId="170" fontId="9" fillId="3" borderId="6" xfId="6" applyNumberFormat="1" applyFont="1" applyFill="1" applyBorder="1"/>
    <xf numFmtId="0" fontId="9" fillId="3" borderId="9" xfId="6" applyFont="1" applyFill="1" applyBorder="1"/>
    <xf numFmtId="170" fontId="5" fillId="0" borderId="0" xfId="6" applyNumberFormat="1" applyFont="1" applyFill="1"/>
    <xf numFmtId="170" fontId="5" fillId="0" borderId="7" xfId="6" applyNumberFormat="1" applyFont="1" applyFill="1" applyBorder="1"/>
    <xf numFmtId="170" fontId="5" fillId="0" borderId="0" xfId="6" applyNumberFormat="1" applyFont="1" applyFill="1" applyBorder="1"/>
    <xf numFmtId="170" fontId="5" fillId="0" borderId="8" xfId="6" applyNumberFormat="1" applyFont="1" applyFill="1" applyBorder="1"/>
    <xf numFmtId="170" fontId="5" fillId="0" borderId="0" xfId="8" applyNumberFormat="1" applyFont="1" applyFill="1"/>
    <xf numFmtId="170" fontId="5" fillId="0" borderId="7" xfId="8" applyNumberFormat="1" applyFont="1" applyFill="1" applyBorder="1"/>
    <xf numFmtId="170" fontId="5" fillId="0" borderId="0" xfId="8" applyNumberFormat="1" applyFont="1" applyFill="1" applyBorder="1"/>
    <xf numFmtId="170" fontId="9" fillId="0" borderId="10" xfId="6" applyNumberFormat="1" applyFont="1" applyFill="1" applyBorder="1"/>
    <xf numFmtId="170" fontId="9" fillId="0" borderId="11" xfId="6" applyNumberFormat="1" applyFont="1" applyFill="1" applyBorder="1"/>
    <xf numFmtId="170" fontId="9" fillId="0" borderId="12" xfId="6" applyNumberFormat="1" applyFont="1" applyFill="1" applyBorder="1"/>
    <xf numFmtId="0" fontId="9" fillId="0" borderId="13" xfId="6" applyFont="1" applyFill="1" applyBorder="1"/>
    <xf numFmtId="170" fontId="5" fillId="2" borderId="3" xfId="6" applyNumberFormat="1" applyFont="1" applyFill="1" applyBorder="1"/>
    <xf numFmtId="170" fontId="5" fillId="2" borderId="4" xfId="6" applyNumberFormat="1" applyFont="1" applyFill="1" applyBorder="1"/>
    <xf numFmtId="170" fontId="5" fillId="2" borderId="5" xfId="6" applyNumberFormat="1" applyFont="1" applyFill="1" applyBorder="1"/>
    <xf numFmtId="170" fontId="5" fillId="2" borderId="6" xfId="6" applyNumberFormat="1" applyFont="1" applyFill="1" applyBorder="1"/>
    <xf numFmtId="0" fontId="5" fillId="0" borderId="0" xfId="6" applyFont="1" applyFill="1" applyAlignment="1">
      <alignment horizontal="left" indent="1"/>
    </xf>
    <xf numFmtId="0" fontId="9" fillId="0" borderId="14" xfId="8" applyFont="1" applyFill="1" applyBorder="1" applyAlignment="1">
      <alignment horizontal="right"/>
    </xf>
    <xf numFmtId="0" fontId="9" fillId="0" borderId="15" xfId="8" applyFont="1" applyFill="1" applyBorder="1" applyAlignment="1">
      <alignment horizontal="right"/>
    </xf>
    <xf numFmtId="0" fontId="9" fillId="0" borderId="16" xfId="8" applyFont="1" applyFill="1" applyBorder="1" applyAlignment="1">
      <alignment horizontal="right"/>
    </xf>
    <xf numFmtId="171" fontId="9" fillId="0" borderId="14" xfId="8" applyNumberFormat="1" applyFont="1" applyFill="1" applyBorder="1" applyAlignment="1">
      <alignment horizontal="left"/>
    </xf>
    <xf numFmtId="0" fontId="5" fillId="0" borderId="7" xfId="8" applyFont="1" applyFill="1" applyBorder="1"/>
    <xf numFmtId="0" fontId="5" fillId="0" borderId="0" xfId="8" applyFont="1" applyFill="1" applyBorder="1"/>
    <xf numFmtId="0" fontId="9" fillId="0" borderId="0" xfId="6" applyFont="1" applyFill="1" applyBorder="1" applyAlignment="1">
      <alignment horizontal="right" vertical="center"/>
    </xf>
    <xf numFmtId="0" fontId="9" fillId="0" borderId="8" xfId="6" applyFont="1" applyFill="1" applyBorder="1" applyAlignment="1">
      <alignment horizontal="right" vertical="center"/>
    </xf>
    <xf numFmtId="0" fontId="10" fillId="0" borderId="17" xfId="6" applyFont="1" applyFill="1" applyBorder="1"/>
    <xf numFmtId="167" fontId="9" fillId="3" borderId="3" xfId="8" applyNumberFormat="1" applyFont="1" applyFill="1" applyBorder="1" applyAlignment="1">
      <alignment horizontal="right"/>
    </xf>
    <xf numFmtId="167" fontId="9" fillId="3" borderId="5" xfId="8" applyNumberFormat="1" applyFont="1" applyFill="1" applyBorder="1" applyAlignment="1">
      <alignment horizontal="right"/>
    </xf>
    <xf numFmtId="167" fontId="9" fillId="3" borderId="6" xfId="8" applyNumberFormat="1" applyFont="1" applyFill="1" applyBorder="1" applyAlignment="1">
      <alignment horizontal="right"/>
    </xf>
    <xf numFmtId="0" fontId="9" fillId="3" borderId="9" xfId="8" applyFont="1" applyFill="1" applyBorder="1"/>
    <xf numFmtId="170" fontId="5" fillId="2" borderId="18" xfId="6" applyNumberFormat="1" applyFont="1" applyFill="1" applyBorder="1"/>
    <xf numFmtId="170" fontId="5" fillId="2" borderId="19" xfId="6" applyNumberFormat="1" applyFont="1" applyFill="1" applyBorder="1"/>
    <xf numFmtId="170" fontId="5" fillId="2" borderId="20" xfId="6" applyNumberFormat="1" applyFont="1" applyFill="1" applyBorder="1"/>
    <xf numFmtId="0" fontId="5" fillId="0" borderId="0" xfId="6" applyFont="1" applyFill="1" applyBorder="1"/>
    <xf numFmtId="0" fontId="9" fillId="0" borderId="0" xfId="6" applyFont="1" applyFill="1" applyBorder="1"/>
    <xf numFmtId="167" fontId="9" fillId="3" borderId="21" xfId="8" applyNumberFormat="1" applyFont="1" applyFill="1" applyBorder="1" applyAlignment="1">
      <alignment horizontal="right"/>
    </xf>
    <xf numFmtId="167" fontId="9" fillId="3" borderId="22" xfId="8" applyNumberFormat="1" applyFont="1" applyFill="1" applyBorder="1" applyAlignment="1">
      <alignment horizontal="right"/>
    </xf>
    <xf numFmtId="167" fontId="9" fillId="3" borderId="23" xfId="8" applyNumberFormat="1" applyFont="1" applyFill="1" applyBorder="1" applyAlignment="1">
      <alignment horizontal="right"/>
    </xf>
    <xf numFmtId="0" fontId="9" fillId="3" borderId="21" xfId="8" applyFont="1" applyFill="1" applyBorder="1"/>
    <xf numFmtId="170" fontId="5" fillId="2" borderId="24" xfId="6" applyNumberFormat="1" applyFont="1" applyFill="1" applyBorder="1"/>
    <xf numFmtId="170" fontId="5" fillId="2" borderId="25" xfId="6" applyNumberFormat="1" applyFont="1" applyFill="1" applyBorder="1"/>
    <xf numFmtId="170" fontId="5" fillId="2" borderId="26" xfId="6" applyNumberFormat="1" applyFont="1" applyFill="1" applyBorder="1"/>
    <xf numFmtId="0" fontId="9" fillId="0" borderId="27" xfId="8" applyFont="1" applyFill="1" applyBorder="1" applyAlignment="1">
      <alignment horizontal="right"/>
    </xf>
    <xf numFmtId="0" fontId="9" fillId="0" borderId="28" xfId="8" applyFont="1" applyFill="1" applyBorder="1" applyAlignment="1">
      <alignment horizontal="right"/>
    </xf>
    <xf numFmtId="0" fontId="9" fillId="0" borderId="29" xfId="8" applyFont="1" applyFill="1" applyBorder="1" applyAlignment="1">
      <alignment horizontal="right"/>
    </xf>
    <xf numFmtId="171" fontId="9" fillId="0" borderId="27" xfId="8" applyNumberFormat="1" applyFont="1" applyFill="1" applyBorder="1" applyAlignment="1">
      <alignment horizontal="left"/>
    </xf>
    <xf numFmtId="0" fontId="5" fillId="0" borderId="8" xfId="6" applyFont="1" applyFill="1" applyBorder="1"/>
    <xf numFmtId="2" fontId="5" fillId="0" borderId="7" xfId="8" applyNumberFormat="1" applyFont="1" applyFill="1" applyBorder="1" applyAlignment="1">
      <alignment horizontal="right"/>
    </xf>
    <xf numFmtId="2" fontId="5" fillId="0" borderId="0" xfId="8" applyNumberFormat="1" applyFont="1" applyFill="1" applyBorder="1" applyAlignment="1">
      <alignment horizontal="right"/>
    </xf>
    <xf numFmtId="2" fontId="5" fillId="0" borderId="8" xfId="8" applyNumberFormat="1" applyFont="1" applyFill="1" applyBorder="1" applyAlignment="1">
      <alignment horizontal="right"/>
    </xf>
    <xf numFmtId="0" fontId="9" fillId="0" borderId="27" xfId="8" applyFont="1" applyFill="1" applyBorder="1"/>
    <xf numFmtId="9" fontId="5" fillId="0" borderId="7" xfId="3" applyFont="1" applyFill="1" applyBorder="1" applyAlignment="1">
      <alignment horizontal="right"/>
    </xf>
    <xf numFmtId="9" fontId="5" fillId="0" borderId="0" xfId="3" applyFont="1" applyFill="1" applyBorder="1" applyAlignment="1">
      <alignment horizontal="right"/>
    </xf>
    <xf numFmtId="9" fontId="5" fillId="0" borderId="8" xfId="3" applyFont="1" applyFill="1" applyBorder="1" applyAlignment="1">
      <alignment horizontal="right"/>
    </xf>
    <xf numFmtId="169" fontId="5" fillId="0" borderId="0" xfId="8" applyNumberFormat="1" applyFont="1" applyFill="1" applyAlignment="1">
      <alignment horizontal="right"/>
    </xf>
    <xf numFmtId="169" fontId="0" fillId="0" borderId="0" xfId="8" applyNumberFormat="1" applyFont="1" applyFill="1" applyBorder="1" applyAlignment="1">
      <alignment horizontal="right"/>
    </xf>
    <xf numFmtId="169" fontId="0" fillId="0" borderId="8" xfId="8" applyNumberFormat="1" applyFont="1" applyFill="1" applyBorder="1" applyAlignment="1">
      <alignment horizontal="right"/>
    </xf>
    <xf numFmtId="169" fontId="5" fillId="0" borderId="7" xfId="8" applyNumberFormat="1" applyFont="1" applyFill="1" applyBorder="1" applyAlignment="1">
      <alignment horizontal="right"/>
    </xf>
    <xf numFmtId="169" fontId="5" fillId="0" borderId="0" xfId="8" applyNumberFormat="1" applyFont="1" applyFill="1" applyBorder="1" applyAlignment="1">
      <alignment horizontal="right"/>
    </xf>
    <xf numFmtId="169" fontId="5" fillId="0" borderId="8" xfId="8" applyNumberFormat="1" applyFont="1" applyFill="1" applyBorder="1" applyAlignment="1">
      <alignment horizontal="right"/>
    </xf>
    <xf numFmtId="0" fontId="9" fillId="0" borderId="0" xfId="8" applyFont="1" applyFill="1" applyBorder="1" applyAlignment="1">
      <alignment horizontal="right"/>
    </xf>
    <xf numFmtId="0" fontId="9" fillId="0" borderId="7" xfId="8" applyFont="1" applyFill="1" applyBorder="1" applyAlignment="1">
      <alignment horizontal="right"/>
    </xf>
    <xf numFmtId="0" fontId="9" fillId="0" borderId="8" xfId="8" applyFont="1" applyFill="1" applyBorder="1" applyAlignment="1">
      <alignment horizontal="right"/>
    </xf>
    <xf numFmtId="0" fontId="9" fillId="0" borderId="0" xfId="8" applyFont="1" applyFill="1" applyBorder="1"/>
    <xf numFmtId="0" fontId="5" fillId="0" borderId="30" xfId="8" applyFont="1" applyFill="1" applyBorder="1"/>
    <xf numFmtId="172" fontId="5" fillId="0" borderId="0" xfId="8" applyNumberFormat="1" applyFont="1" applyFill="1" applyAlignment="1">
      <alignment horizontal="right"/>
    </xf>
    <xf numFmtId="172" fontId="5" fillId="0" borderId="7" xfId="8" applyNumberFormat="1" applyFont="1" applyFill="1" applyBorder="1" applyAlignment="1">
      <alignment horizontal="right"/>
    </xf>
    <xf numFmtId="172" fontId="5" fillId="0" borderId="0" xfId="8" applyNumberFormat="1" applyFont="1" applyFill="1" applyBorder="1" applyAlignment="1">
      <alignment horizontal="right"/>
    </xf>
    <xf numFmtId="172" fontId="5" fillId="0" borderId="8" xfId="8" applyNumberFormat="1" applyFont="1" applyFill="1" applyBorder="1" applyAlignment="1">
      <alignment horizontal="right"/>
    </xf>
    <xf numFmtId="0" fontId="9" fillId="0" borderId="14" xfId="8" applyFont="1" applyFill="1" applyBorder="1" applyAlignment="1">
      <alignment horizontal="left"/>
    </xf>
    <xf numFmtId="0" fontId="5" fillId="0" borderId="0" xfId="8" applyFont="1" applyFill="1" applyBorder="1" applyAlignment="1">
      <alignment horizontal="right"/>
    </xf>
    <xf numFmtId="0" fontId="5" fillId="0" borderId="8" xfId="8" applyFont="1" applyFill="1" applyBorder="1" applyAlignment="1">
      <alignment horizontal="right"/>
    </xf>
    <xf numFmtId="170" fontId="5" fillId="3" borderId="3" xfId="6" applyNumberFormat="1" applyFont="1" applyFill="1" applyBorder="1"/>
    <xf numFmtId="170" fontId="5" fillId="3" borderId="4" xfId="6" applyNumberFormat="1" applyFont="1" applyFill="1" applyBorder="1"/>
    <xf numFmtId="170" fontId="5" fillId="3" borderId="5" xfId="6" applyNumberFormat="1" applyFont="1" applyFill="1" applyBorder="1"/>
    <xf numFmtId="170" fontId="5" fillId="3" borderId="6" xfId="6" applyNumberFormat="1" applyFont="1" applyFill="1" applyBorder="1"/>
    <xf numFmtId="0" fontId="0" fillId="3" borderId="9" xfId="8" applyFont="1" applyFill="1" applyBorder="1" applyAlignment="1">
      <alignment horizontal="left" indent="1"/>
    </xf>
    <xf numFmtId="0" fontId="9" fillId="0" borderId="0" xfId="8" applyFont="1" applyFill="1" applyAlignment="1">
      <alignment horizontal="right"/>
    </xf>
    <xf numFmtId="173" fontId="9" fillId="0" borderId="7" xfId="8" applyNumberFormat="1" applyFont="1" applyFill="1" applyBorder="1" applyAlignment="1">
      <alignment horizontal="right"/>
    </xf>
    <xf numFmtId="173" fontId="9" fillId="0" borderId="0" xfId="8" applyNumberFormat="1" applyFont="1" applyFill="1" applyBorder="1" applyAlignment="1">
      <alignment horizontal="right"/>
    </xf>
    <xf numFmtId="173" fontId="9" fillId="0" borderId="8" xfId="8" applyNumberFormat="1" applyFont="1" applyFill="1" applyBorder="1" applyAlignment="1">
      <alignment horizontal="right"/>
    </xf>
    <xf numFmtId="0" fontId="9" fillId="0" borderId="0" xfId="8" applyFont="1" applyFill="1" applyBorder="1" applyAlignment="1">
      <alignment horizontal="left"/>
    </xf>
    <xf numFmtId="0" fontId="0" fillId="0" borderId="0" xfId="8" applyFont="1" applyFill="1" applyBorder="1" applyAlignment="1">
      <alignment horizontal="left" indent="1"/>
    </xf>
    <xf numFmtId="175" fontId="5" fillId="0" borderId="7" xfId="8" applyNumberFormat="1" applyFont="1" applyFill="1" applyBorder="1" applyAlignment="1">
      <alignment horizontal="right"/>
    </xf>
    <xf numFmtId="175" fontId="5" fillId="0" borderId="0" xfId="8" applyNumberFormat="1" applyFont="1" applyFill="1" applyBorder="1" applyAlignment="1">
      <alignment horizontal="right"/>
    </xf>
    <xf numFmtId="176" fontId="5" fillId="0" borderId="0" xfId="8" applyNumberFormat="1" applyFont="1" applyFill="1" applyBorder="1" applyAlignment="1">
      <alignment horizontal="right"/>
    </xf>
    <xf numFmtId="176" fontId="5" fillId="0" borderId="8" xfId="8" applyNumberFormat="1" applyFont="1" applyFill="1" applyBorder="1" applyAlignment="1">
      <alignment horizontal="right"/>
    </xf>
    <xf numFmtId="0" fontId="5" fillId="0" borderId="8" xfId="8" applyFont="1" applyFill="1" applyBorder="1"/>
    <xf numFmtId="177" fontId="5" fillId="0" borderId="0" xfId="6" applyNumberFormat="1" applyFont="1" applyFill="1" applyBorder="1" applyAlignment="1" applyProtection="1">
      <alignment horizontal="right"/>
      <protection locked="0"/>
    </xf>
    <xf numFmtId="0" fontId="0" fillId="0" borderId="0" xfId="8" applyFont="1" applyFill="1" applyBorder="1"/>
    <xf numFmtId="171" fontId="9" fillId="0" borderId="0" xfId="8" applyNumberFormat="1" applyFont="1" applyFill="1" applyBorder="1" applyAlignment="1">
      <alignment horizontal="left"/>
    </xf>
    <xf numFmtId="9" fontId="5" fillId="3" borderId="9" xfId="3" applyFont="1" applyFill="1" applyBorder="1" applyAlignment="1">
      <alignment horizontal="right"/>
    </xf>
    <xf numFmtId="9" fontId="5" fillId="3" borderId="6" xfId="3" applyFont="1" applyFill="1" applyBorder="1" applyAlignment="1">
      <alignment horizontal="right"/>
    </xf>
    <xf numFmtId="9" fontId="11" fillId="0" borderId="0" xfId="8" applyNumberFormat="1" applyFont="1" applyFill="1" applyBorder="1" applyAlignment="1">
      <alignment horizontal="right"/>
    </xf>
    <xf numFmtId="178" fontId="9" fillId="0" borderId="0" xfId="8" applyNumberFormat="1" applyFont="1" applyFill="1" applyBorder="1" applyAlignment="1">
      <alignment horizontal="right"/>
    </xf>
    <xf numFmtId="0" fontId="5" fillId="0" borderId="0" xfId="8" applyFont="1" applyFill="1" applyBorder="1" applyAlignment="1">
      <alignment horizontal="left"/>
    </xf>
    <xf numFmtId="166" fontId="5" fillId="0" borderId="0" xfId="3" applyNumberFormat="1" applyFont="1" applyFill="1" applyBorder="1" applyAlignment="1">
      <alignment horizontal="right"/>
    </xf>
    <xf numFmtId="0" fontId="0" fillId="0" borderId="0" xfId="6" applyFont="1" applyFill="1"/>
    <xf numFmtId="0" fontId="9" fillId="0" borderId="0" xfId="6" applyFont="1" applyFill="1" applyBorder="1" applyAlignment="1">
      <alignment horizontal="left"/>
    </xf>
    <xf numFmtId="174" fontId="9" fillId="0" borderId="0" xfId="8" applyNumberFormat="1" applyFont="1" applyFill="1" applyBorder="1" applyAlignment="1">
      <alignment horizontal="right"/>
    </xf>
    <xf numFmtId="174" fontId="9" fillId="0" borderId="8" xfId="8" applyNumberFormat="1" applyFont="1" applyFill="1" applyBorder="1" applyAlignment="1">
      <alignment horizontal="right"/>
    </xf>
    <xf numFmtId="2" fontId="9" fillId="2" borderId="3" xfId="8" applyNumberFormat="1" applyFont="1" applyFill="1" applyBorder="1" applyAlignment="1">
      <alignment horizontal="right"/>
    </xf>
    <xf numFmtId="2" fontId="9" fillId="2" borderId="6" xfId="8" applyNumberFormat="1" applyFont="1" applyFill="1" applyBorder="1" applyAlignment="1">
      <alignment horizontal="right"/>
    </xf>
    <xf numFmtId="179" fontId="9" fillId="4" borderId="31" xfId="8" applyNumberFormat="1" applyFont="1" applyFill="1" applyBorder="1"/>
    <xf numFmtId="0" fontId="9" fillId="4" borderId="32" xfId="8" applyFont="1" applyFill="1" applyBorder="1" applyAlignment="1">
      <alignment horizontal="right"/>
    </xf>
    <xf numFmtId="0" fontId="9" fillId="4" borderId="33" xfId="8" applyFont="1" applyFill="1" applyBorder="1" applyAlignment="1">
      <alignment horizontal="right"/>
    </xf>
    <xf numFmtId="0" fontId="9" fillId="0" borderId="34" xfId="8" applyFont="1" applyFill="1" applyBorder="1" applyAlignment="1">
      <alignment horizontal="right"/>
    </xf>
    <xf numFmtId="0" fontId="9" fillId="0" borderId="35" xfId="8" applyFont="1" applyFill="1" applyBorder="1" applyAlignment="1">
      <alignment horizontal="right"/>
    </xf>
    <xf numFmtId="0" fontId="9" fillId="0" borderId="34" xfId="8" applyFont="1" applyFill="1" applyBorder="1" applyAlignment="1">
      <alignment horizontal="left"/>
    </xf>
    <xf numFmtId="0" fontId="9" fillId="0" borderId="36" xfId="8" applyFont="1" applyFill="1" applyBorder="1" applyAlignment="1">
      <alignment horizontal="right"/>
    </xf>
    <xf numFmtId="0" fontId="9" fillId="0" borderId="37" xfId="8" applyFont="1" applyFill="1" applyBorder="1" applyAlignment="1">
      <alignment horizontal="right"/>
    </xf>
    <xf numFmtId="171" fontId="9" fillId="5" borderId="38" xfId="8" applyNumberFormat="1" applyFont="1" applyFill="1" applyBorder="1" applyAlignment="1">
      <alignment horizontal="left"/>
    </xf>
    <xf numFmtId="2" fontId="5" fillId="2" borderId="6" xfId="8" applyNumberFormat="1" applyFont="1" applyFill="1" applyBorder="1" applyAlignment="1">
      <alignment horizontal="right"/>
    </xf>
    <xf numFmtId="2" fontId="5" fillId="2" borderId="3" xfId="8" applyNumberFormat="1" applyFont="1" applyFill="1" applyBorder="1" applyAlignment="1">
      <alignment horizontal="right"/>
    </xf>
    <xf numFmtId="2" fontId="5" fillId="2" borderId="5" xfId="8" applyNumberFormat="1" applyFont="1" applyFill="1" applyBorder="1" applyAlignment="1">
      <alignment horizontal="right"/>
    </xf>
    <xf numFmtId="0" fontId="1" fillId="0" borderId="0" xfId="0" applyFont="1"/>
    <xf numFmtId="0" fontId="0" fillId="0" borderId="0" xfId="0" applyFill="1"/>
    <xf numFmtId="3" fontId="0" fillId="0" borderId="0" xfId="0" applyNumberFormat="1"/>
    <xf numFmtId="1" fontId="5" fillId="2" borderId="3" xfId="8" applyNumberFormat="1" applyFont="1" applyFill="1" applyBorder="1" applyAlignment="1">
      <alignment horizontal="right"/>
    </xf>
    <xf numFmtId="1" fontId="5" fillId="0" borderId="0" xfId="8" applyNumberFormat="1" applyFont="1" applyFill="1" applyAlignment="1">
      <alignment horizontal="right"/>
    </xf>
    <xf numFmtId="1" fontId="9" fillId="2" borderId="6" xfId="8" applyNumberFormat="1" applyFont="1" applyFill="1" applyBorder="1" applyAlignment="1">
      <alignment horizontal="right"/>
    </xf>
    <xf numFmtId="189" fontId="5" fillId="3" borderId="5" xfId="6" applyNumberFormat="1" applyFont="1" applyFill="1" applyBorder="1"/>
    <xf numFmtId="0" fontId="21" fillId="7" borderId="39" xfId="0" applyFont="1" applyFill="1" applyBorder="1" applyAlignment="1">
      <alignment vertical="center"/>
    </xf>
    <xf numFmtId="0" fontId="22" fillId="7" borderId="39" xfId="0" applyFont="1" applyFill="1" applyBorder="1" applyAlignment="1">
      <alignment vertical="center"/>
    </xf>
    <xf numFmtId="0" fontId="23" fillId="7" borderId="39" xfId="0" applyFont="1" applyFill="1" applyBorder="1" applyAlignment="1">
      <alignment vertical="center"/>
    </xf>
    <xf numFmtId="0" fontId="23" fillId="7" borderId="39" xfId="0" applyFont="1" applyFill="1" applyBorder="1" applyAlignment="1">
      <alignment horizontal="center" vertical="center"/>
    </xf>
    <xf numFmtId="0" fontId="24" fillId="0" borderId="0" xfId="0" applyFont="1"/>
    <xf numFmtId="0" fontId="24" fillId="0" borderId="1" xfId="0" applyFont="1" applyBorder="1" applyAlignment="1">
      <alignment horizontal="left" vertical="center" indent="1"/>
    </xf>
    <xf numFmtId="0" fontId="22" fillId="0" borderId="1" xfId="0" applyFont="1" applyFill="1" applyBorder="1" applyAlignment="1">
      <alignment vertical="center"/>
    </xf>
    <xf numFmtId="14" fontId="25" fillId="0" borderId="1" xfId="0" applyNumberFormat="1" applyFont="1" applyBorder="1" applyAlignment="1">
      <alignment vertical="center"/>
    </xf>
    <xf numFmtId="14" fontId="24" fillId="0" borderId="1" xfId="0" applyNumberFormat="1" applyFont="1" applyBorder="1" applyAlignment="1">
      <alignment vertical="center"/>
    </xf>
    <xf numFmtId="0" fontId="23" fillId="0" borderId="0" xfId="0" applyFont="1" applyFill="1" applyBorder="1" applyAlignment="1">
      <alignment horizontal="center" vertical="center"/>
    </xf>
    <xf numFmtId="0" fontId="24" fillId="0" borderId="2" xfId="0" applyFont="1" applyBorder="1" applyAlignment="1">
      <alignment horizontal="left" vertical="center" indent="1"/>
    </xf>
    <xf numFmtId="0" fontId="22" fillId="0" borderId="2" xfId="0" applyFont="1" applyFill="1" applyBorder="1" applyAlignment="1">
      <alignment vertical="center"/>
    </xf>
    <xf numFmtId="14" fontId="25" fillId="0" borderId="2" xfId="0" applyNumberFormat="1" applyFont="1" applyBorder="1" applyAlignment="1">
      <alignment vertical="center"/>
    </xf>
    <xf numFmtId="14" fontId="24" fillId="0" borderId="2" xfId="0" applyNumberFormat="1" applyFont="1" applyBorder="1" applyAlignment="1">
      <alignment vertical="center"/>
    </xf>
    <xf numFmtId="0" fontId="23" fillId="0" borderId="0" xfId="0" applyFont="1" applyAlignment="1">
      <alignment vertical="center"/>
    </xf>
    <xf numFmtId="3" fontId="22" fillId="0" borderId="0" xfId="0" applyNumberFormat="1" applyFont="1" applyAlignment="1">
      <alignment vertical="center"/>
    </xf>
    <xf numFmtId="3" fontId="23" fillId="0" borderId="0" xfId="0" applyNumberFormat="1" applyFont="1" applyAlignment="1">
      <alignment vertical="center"/>
    </xf>
    <xf numFmtId="0" fontId="24" fillId="0" borderId="0" xfId="0" applyFont="1" applyAlignment="1">
      <alignment horizontal="center" vertical="center" wrapText="1"/>
    </xf>
    <xf numFmtId="0" fontId="24" fillId="0" borderId="0" xfId="0" applyFont="1" applyAlignment="1">
      <alignment horizontal="left" vertical="center" indent="1"/>
    </xf>
    <xf numFmtId="190" fontId="25" fillId="0" borderId="0" xfId="0" applyNumberFormat="1" applyFont="1" applyAlignment="1">
      <alignment vertical="center"/>
    </xf>
    <xf numFmtId="190" fontId="24" fillId="0" borderId="0" xfId="0" applyNumberFormat="1" applyFont="1" applyAlignment="1">
      <alignment vertical="center"/>
    </xf>
    <xf numFmtId="3" fontId="25" fillId="0" borderId="2" xfId="0" applyNumberFormat="1" applyFont="1" applyFill="1" applyBorder="1" applyAlignment="1">
      <alignment vertical="center"/>
    </xf>
    <xf numFmtId="3" fontId="24" fillId="0" borderId="2" xfId="0" applyNumberFormat="1" applyFont="1" applyFill="1" applyBorder="1" applyAlignment="1">
      <alignment vertical="center"/>
    </xf>
    <xf numFmtId="0" fontId="24" fillId="0" borderId="0" xfId="0" applyFont="1" applyAlignment="1">
      <alignment horizontal="left" vertical="center"/>
    </xf>
    <xf numFmtId="4" fontId="25" fillId="0" borderId="0" xfId="0" applyNumberFormat="1" applyFont="1" applyAlignment="1">
      <alignment vertical="center"/>
    </xf>
    <xf numFmtId="2" fontId="24" fillId="0" borderId="0" xfId="0" applyNumberFormat="1" applyFont="1"/>
    <xf numFmtId="0" fontId="23" fillId="0" borderId="39" xfId="0" applyFont="1" applyBorder="1" applyAlignment="1">
      <alignment vertical="center"/>
    </xf>
    <xf numFmtId="3" fontId="22" fillId="0" borderId="39" xfId="0" applyNumberFormat="1" applyFont="1" applyBorder="1" applyAlignment="1">
      <alignment vertical="center"/>
    </xf>
    <xf numFmtId="3" fontId="23" fillId="0" borderId="39" xfId="0" applyNumberFormat="1" applyFont="1" applyBorder="1" applyAlignment="1">
      <alignment vertical="center"/>
    </xf>
    <xf numFmtId="0" fontId="26" fillId="0" borderId="0" xfId="0" applyFont="1" applyAlignment="1">
      <alignment horizontal="left" vertical="center" indent="4"/>
    </xf>
    <xf numFmtId="166" fontId="27" fillId="0" borderId="0" xfId="0" applyNumberFormat="1" applyFont="1" applyAlignment="1">
      <alignment vertical="center"/>
    </xf>
    <xf numFmtId="166" fontId="28" fillId="0" borderId="0" xfId="1" applyNumberFormat="1" applyFont="1" applyAlignment="1">
      <alignment vertical="center"/>
    </xf>
    <xf numFmtId="166" fontId="29" fillId="0" borderId="0" xfId="1" applyNumberFormat="1" applyFont="1" applyAlignment="1">
      <alignment vertical="center"/>
    </xf>
    <xf numFmtId="0" fontId="24" fillId="7" borderId="0" xfId="0" applyFont="1" applyFill="1" applyAlignment="1">
      <alignment horizontal="left" vertical="center" indent="2"/>
    </xf>
    <xf numFmtId="3" fontId="25" fillId="7" borderId="0" xfId="0" applyNumberFormat="1" applyFont="1" applyFill="1" applyAlignment="1">
      <alignment vertical="center"/>
    </xf>
    <xf numFmtId="3" fontId="24" fillId="7" borderId="0" xfId="0" applyNumberFormat="1" applyFont="1" applyFill="1" applyAlignment="1">
      <alignment vertical="center"/>
    </xf>
    <xf numFmtId="0" fontId="24" fillId="0" borderId="0" xfId="0" applyFont="1" applyFill="1" applyAlignment="1">
      <alignment horizontal="center" vertical="center" wrapText="1"/>
    </xf>
    <xf numFmtId="0" fontId="24" fillId="0" borderId="0" xfId="0" applyFont="1" applyFill="1"/>
    <xf numFmtId="0" fontId="24" fillId="0" borderId="0" xfId="0" applyFont="1" applyFill="1" applyAlignment="1">
      <alignment horizontal="left" vertical="center" indent="4"/>
    </xf>
    <xf numFmtId="3" fontId="25" fillId="0" borderId="0" xfId="0" applyNumberFormat="1" applyFont="1" applyFill="1" applyAlignment="1">
      <alignment vertical="center"/>
    </xf>
    <xf numFmtId="3" fontId="24" fillId="0" borderId="0" xfId="0" applyNumberFormat="1" applyFont="1" applyFill="1" applyAlignment="1">
      <alignment vertical="center"/>
    </xf>
    <xf numFmtId="0" fontId="24" fillId="0" borderId="0" xfId="0" applyFont="1" applyFill="1" applyAlignment="1">
      <alignment horizontal="left" vertical="center" indent="8"/>
    </xf>
    <xf numFmtId="0" fontId="26" fillId="0" borderId="0" xfId="0" applyFont="1" applyFill="1" applyAlignment="1">
      <alignment horizontal="left" vertical="center" indent="4"/>
    </xf>
    <xf numFmtId="3" fontId="30" fillId="0" borderId="0" xfId="0" applyNumberFormat="1" applyFont="1" applyFill="1" applyAlignment="1">
      <alignment vertical="center"/>
    </xf>
    <xf numFmtId="3" fontId="26" fillId="0" borderId="0" xfId="0" applyNumberFormat="1" applyFont="1" applyFill="1" applyAlignment="1">
      <alignment vertical="center"/>
    </xf>
    <xf numFmtId="3" fontId="31" fillId="7" borderId="0" xfId="0" applyNumberFormat="1" applyFont="1" applyFill="1" applyAlignment="1">
      <alignment vertical="center"/>
    </xf>
    <xf numFmtId="0" fontId="26" fillId="0" borderId="0" xfId="0" applyFont="1" applyFill="1" applyAlignment="1">
      <alignment horizontal="left" vertical="center" indent="8"/>
    </xf>
    <xf numFmtId="0" fontId="26" fillId="0" borderId="0" xfId="0" applyFont="1" applyFill="1" applyAlignment="1">
      <alignment horizontal="left" vertical="center" indent="6"/>
    </xf>
    <xf numFmtId="0" fontId="26" fillId="0" borderId="0" xfId="0" applyFont="1" applyFill="1" applyAlignment="1">
      <alignment horizontal="left" vertical="center" indent="10"/>
    </xf>
    <xf numFmtId="0" fontId="26" fillId="0" borderId="0" xfId="0" applyFont="1" applyFill="1" applyAlignment="1">
      <alignment horizontal="left" vertical="center" indent="14"/>
    </xf>
    <xf numFmtId="0" fontId="24" fillId="0" borderId="0" xfId="0" applyFont="1" applyFill="1" applyAlignment="1">
      <alignment horizontal="left" vertical="center" indent="6"/>
    </xf>
    <xf numFmtId="0" fontId="25" fillId="0" borderId="0" xfId="0" applyFont="1" applyAlignment="1">
      <alignment vertical="center"/>
    </xf>
    <xf numFmtId="3" fontId="31" fillId="0" borderId="0" xfId="0" applyNumberFormat="1" applyFont="1" applyFill="1" applyAlignment="1">
      <alignment vertical="center"/>
    </xf>
    <xf numFmtId="190" fontId="25" fillId="0" borderId="0" xfId="0" applyNumberFormat="1" applyFont="1" applyFill="1" applyAlignment="1">
      <alignment vertical="center"/>
    </xf>
    <xf numFmtId="190" fontId="24" fillId="0" borderId="0" xfId="0" applyNumberFormat="1" applyFont="1" applyFill="1" applyAlignment="1">
      <alignment vertical="center"/>
    </xf>
    <xf numFmtId="0" fontId="26" fillId="0" borderId="0" xfId="0" applyFont="1" applyAlignment="1">
      <alignment horizontal="left" vertical="center" indent="6"/>
    </xf>
    <xf numFmtId="0" fontId="24" fillId="0" borderId="0" xfId="0" applyFont="1" applyAlignment="1">
      <alignment horizontal="left" vertical="center" indent="6"/>
    </xf>
    <xf numFmtId="0" fontId="24" fillId="0" borderId="0" xfId="0" applyFont="1" applyFill="1" applyAlignment="1">
      <alignment horizontal="left" vertical="center" indent="10"/>
    </xf>
    <xf numFmtId="190" fontId="30" fillId="0" borderId="0" xfId="0" applyNumberFormat="1" applyFont="1" applyFill="1" applyAlignment="1">
      <alignment vertical="center"/>
    </xf>
    <xf numFmtId="190" fontId="31" fillId="0" borderId="0" xfId="0" applyNumberFormat="1" applyFont="1" applyFill="1" applyAlignment="1">
      <alignment vertical="center"/>
    </xf>
    <xf numFmtId="3" fontId="24" fillId="0" borderId="0" xfId="0" applyNumberFormat="1" applyFont="1" applyAlignment="1">
      <alignment horizontal="center" vertical="center" wrapText="1"/>
    </xf>
    <xf numFmtId="166" fontId="24" fillId="0" borderId="0" xfId="1" applyNumberFormat="1" applyFont="1"/>
    <xf numFmtId="2" fontId="29" fillId="0" borderId="0" xfId="1" applyNumberFormat="1" applyFont="1" applyAlignment="1">
      <alignment vertical="center"/>
    </xf>
    <xf numFmtId="0" fontId="23" fillId="0" borderId="39" xfId="0" applyFont="1" applyBorder="1" applyAlignment="1">
      <alignment horizontal="left" vertical="center"/>
    </xf>
    <xf numFmtId="10" fontId="24" fillId="0" borderId="0" xfId="1" applyNumberFormat="1" applyFont="1"/>
    <xf numFmtId="166" fontId="28" fillId="0" borderId="2" xfId="1" applyNumberFormat="1" applyFont="1" applyFill="1" applyBorder="1" applyAlignment="1">
      <alignment vertical="center"/>
    </xf>
    <xf numFmtId="166" fontId="29" fillId="0" borderId="2" xfId="1" applyNumberFormat="1" applyFont="1" applyFill="1" applyBorder="1" applyAlignment="1">
      <alignment vertical="center"/>
    </xf>
    <xf numFmtId="0" fontId="24" fillId="0" borderId="0" xfId="0" applyFont="1" applyBorder="1" applyAlignment="1">
      <alignment horizontal="left" vertical="center" indent="2"/>
    </xf>
    <xf numFmtId="3" fontId="25" fillId="0" borderId="0" xfId="0" applyNumberFormat="1" applyFont="1" applyBorder="1" applyAlignment="1">
      <alignment vertical="center"/>
    </xf>
    <xf numFmtId="3" fontId="25" fillId="0" borderId="0" xfId="0" applyNumberFormat="1" applyFont="1" applyFill="1" applyBorder="1" applyAlignment="1">
      <alignment vertical="center"/>
    </xf>
    <xf numFmtId="3" fontId="24" fillId="0" borderId="0" xfId="0" applyNumberFormat="1" applyFont="1" applyFill="1" applyBorder="1" applyAlignment="1">
      <alignment vertical="center"/>
    </xf>
    <xf numFmtId="0" fontId="24" fillId="0" borderId="0" xfId="0" applyFont="1" applyAlignment="1">
      <alignment horizontal="left" vertical="center" indent="5"/>
    </xf>
    <xf numFmtId="0" fontId="26" fillId="0" borderId="0" xfId="0" applyFont="1" applyFill="1" applyBorder="1" applyAlignment="1">
      <alignment horizontal="left" indent="5"/>
    </xf>
    <xf numFmtId="166" fontId="28" fillId="0" borderId="0" xfId="1" applyNumberFormat="1" applyFont="1" applyFill="1" applyAlignment="1">
      <alignment vertical="center"/>
    </xf>
    <xf numFmtId="3" fontId="24" fillId="0" borderId="0" xfId="0" applyNumberFormat="1" applyFont="1" applyBorder="1" applyAlignment="1">
      <alignment vertical="center"/>
    </xf>
    <xf numFmtId="0" fontId="24" fillId="0" borderId="0" xfId="0" applyFont="1" applyBorder="1" applyAlignment="1">
      <alignment horizontal="left" vertical="center" indent="6"/>
    </xf>
    <xf numFmtId="0" fontId="19" fillId="0" borderId="2" xfId="0" applyFont="1" applyBorder="1"/>
    <xf numFmtId="3" fontId="19" fillId="0" borderId="0" xfId="0" applyNumberFormat="1" applyFont="1" applyFill="1" applyBorder="1" applyAlignment="1">
      <alignment vertical="center"/>
    </xf>
    <xf numFmtId="0" fontId="24" fillId="0" borderId="0" xfId="0" applyFont="1" applyAlignment="1">
      <alignment horizontal="left" vertical="center" indent="2"/>
    </xf>
    <xf numFmtId="188" fontId="19" fillId="0" borderId="0" xfId="0" applyNumberFormat="1" applyFont="1"/>
    <xf numFmtId="169" fontId="19" fillId="0" borderId="2" xfId="0" applyNumberFormat="1" applyFont="1" applyBorder="1"/>
    <xf numFmtId="0" fontId="20" fillId="0" borderId="0" xfId="0" applyFont="1"/>
    <xf numFmtId="169" fontId="20" fillId="0" borderId="0" xfId="0" applyNumberFormat="1" applyFont="1"/>
    <xf numFmtId="0" fontId="23" fillId="0" borderId="0" xfId="0" applyFont="1" applyAlignment="1">
      <alignment horizontal="center" vertical="center" wrapText="1"/>
    </xf>
    <xf numFmtId="0" fontId="23" fillId="0" borderId="0" xfId="0" applyFont="1"/>
    <xf numFmtId="166" fontId="29" fillId="0" borderId="0" xfId="1" applyNumberFormat="1" applyFont="1" applyFill="1" applyAlignment="1">
      <alignment vertical="center"/>
    </xf>
    <xf numFmtId="0" fontId="24" fillId="0" borderId="39" xfId="0" applyFont="1" applyBorder="1" applyAlignment="1">
      <alignment vertical="center"/>
    </xf>
    <xf numFmtId="3" fontId="25" fillId="0" borderId="39" xfId="0" applyNumberFormat="1" applyFont="1" applyBorder="1" applyAlignment="1">
      <alignment vertical="center"/>
    </xf>
    <xf numFmtId="3" fontId="24" fillId="0" borderId="39" xfId="0" applyNumberFormat="1" applyFont="1" applyBorder="1" applyAlignment="1">
      <alignment vertical="center"/>
    </xf>
    <xf numFmtId="0" fontId="26" fillId="0" borderId="2" xfId="0" applyFont="1" applyFill="1" applyBorder="1" applyAlignment="1">
      <alignment horizontal="left" vertical="center" indent="4"/>
    </xf>
    <xf numFmtId="0" fontId="24" fillId="0" borderId="0" xfId="0" applyFont="1" applyBorder="1" applyAlignment="1">
      <alignment horizontal="center" vertical="center" wrapText="1"/>
    </xf>
    <xf numFmtId="0" fontId="24" fillId="0" borderId="0" xfId="0" applyFont="1" applyBorder="1"/>
    <xf numFmtId="0" fontId="24" fillId="0" borderId="0" xfId="0" applyFont="1" applyAlignment="1">
      <alignment vertical="center"/>
    </xf>
    <xf numFmtId="3" fontId="25" fillId="0" borderId="0" xfId="0" applyNumberFormat="1" applyFont="1" applyAlignment="1">
      <alignment vertical="center"/>
    </xf>
    <xf numFmtId="3" fontId="24" fillId="0" borderId="0" xfId="0" applyNumberFormat="1" applyFont="1" applyAlignment="1">
      <alignment vertical="center"/>
    </xf>
    <xf numFmtId="0" fontId="24" fillId="0" borderId="0" xfId="0" applyFont="1" applyAlignment="1">
      <alignment horizontal="left" indent="2"/>
    </xf>
    <xf numFmtId="3" fontId="22" fillId="0" borderId="39" xfId="0" applyNumberFormat="1" applyFont="1" applyFill="1" applyBorder="1" applyAlignment="1">
      <alignment vertical="center"/>
    </xf>
    <xf numFmtId="0" fontId="26" fillId="0" borderId="0" xfId="0" applyFont="1" applyBorder="1" applyAlignment="1">
      <alignment horizontal="left" vertical="center" indent="6"/>
    </xf>
    <xf numFmtId="166" fontId="28" fillId="0" borderId="0" xfId="1" applyNumberFormat="1" applyFont="1" applyFill="1" applyBorder="1" applyAlignment="1">
      <alignment vertical="center"/>
    </xf>
    <xf numFmtId="166" fontId="29" fillId="0" borderId="0" xfId="1" applyNumberFormat="1" applyFont="1" applyFill="1" applyBorder="1" applyAlignment="1">
      <alignment vertical="center"/>
    </xf>
    <xf numFmtId="0" fontId="33" fillId="0" borderId="0" xfId="31" applyFont="1" applyBorder="1" applyAlignment="1">
      <alignment horizontal="left" vertical="center" indent="4"/>
    </xf>
    <xf numFmtId="0" fontId="24" fillId="0" borderId="39" xfId="0" applyFont="1" applyBorder="1" applyAlignment="1">
      <alignment horizontal="left" vertical="center" indent="1"/>
    </xf>
    <xf numFmtId="168" fontId="25" fillId="0" borderId="39" xfId="0" applyNumberFormat="1" applyFont="1" applyBorder="1" applyAlignment="1">
      <alignment vertical="center"/>
    </xf>
    <xf numFmtId="168" fontId="31" fillId="0" borderId="39" xfId="0" applyNumberFormat="1" applyFont="1" applyBorder="1" applyAlignment="1">
      <alignment vertical="center"/>
    </xf>
    <xf numFmtId="0" fontId="23" fillId="0" borderId="39" xfId="0" applyFont="1" applyBorder="1" applyAlignment="1">
      <alignment horizontal="left" vertical="center" indent="1"/>
    </xf>
    <xf numFmtId="0" fontId="21" fillId="0" borderId="39" xfId="0" applyFont="1" applyBorder="1" applyAlignment="1">
      <alignment horizontal="left" vertical="center" indent="1"/>
    </xf>
    <xf numFmtId="9" fontId="34" fillId="0" borderId="39" xfId="1" applyFont="1" applyBorder="1" applyAlignment="1">
      <alignment vertical="center"/>
    </xf>
    <xf numFmtId="9" fontId="35" fillId="0" borderId="39" xfId="1" applyFont="1" applyBorder="1" applyAlignment="1">
      <alignment vertical="center"/>
    </xf>
    <xf numFmtId="0" fontId="24" fillId="0" borderId="0" xfId="0" applyFont="1" applyAlignment="1">
      <alignment horizontal="left" vertical="center" indent="3"/>
    </xf>
    <xf numFmtId="169" fontId="25" fillId="0" borderId="0" xfId="0" applyNumberFormat="1" applyFont="1" applyAlignment="1">
      <alignment vertical="center"/>
    </xf>
    <xf numFmtId="169" fontId="24" fillId="0" borderId="0" xfId="0" applyNumberFormat="1" applyFont="1" applyAlignment="1">
      <alignment vertical="center"/>
    </xf>
    <xf numFmtId="0" fontId="26" fillId="0" borderId="0" xfId="0" applyFont="1" applyAlignment="1">
      <alignment horizontal="left" vertical="center" indent="5"/>
    </xf>
    <xf numFmtId="1" fontId="24" fillId="0" borderId="0" xfId="0" applyNumberFormat="1" applyFont="1" applyBorder="1"/>
    <xf numFmtId="3" fontId="24" fillId="0" borderId="0" xfId="0" applyNumberFormat="1" applyFont="1"/>
    <xf numFmtId="0" fontId="36" fillId="0" borderId="0" xfId="0" applyFont="1"/>
    <xf numFmtId="15" fontId="37" fillId="0" borderId="0" xfId="0" applyNumberFormat="1" applyFont="1" applyFill="1" applyAlignment="1">
      <alignment horizontal="right" vertical="center" wrapText="1"/>
    </xf>
    <xf numFmtId="15" fontId="37" fillId="0" borderId="0" xfId="0" applyNumberFormat="1" applyFont="1" applyFill="1" applyAlignment="1">
      <alignment horizontal="center" vertical="center" wrapText="1"/>
    </xf>
    <xf numFmtId="15" fontId="37" fillId="0" borderId="0" xfId="0" applyNumberFormat="1" applyFont="1" applyFill="1" applyAlignment="1">
      <alignment wrapText="1"/>
    </xf>
    <xf numFmtId="191" fontId="38" fillId="0" borderId="0" xfId="30" applyNumberFormat="1" applyFont="1" applyAlignment="1">
      <alignment horizontal="center" vertical="center" wrapText="1"/>
    </xf>
    <xf numFmtId="191" fontId="38" fillId="0" borderId="0" xfId="30" applyNumberFormat="1" applyFont="1" applyFill="1" applyAlignment="1">
      <alignment horizontal="center" vertical="center" wrapText="1"/>
    </xf>
    <xf numFmtId="191" fontId="38" fillId="0" borderId="0" xfId="32" applyNumberFormat="1" applyFont="1" applyFill="1" applyAlignment="1">
      <alignment horizontal="center" vertical="center" wrapText="1"/>
    </xf>
    <xf numFmtId="9" fontId="5" fillId="0" borderId="0" xfId="3" applyNumberFormat="1" applyFont="1" applyFill="1" applyAlignment="1">
      <alignment horizontal="right"/>
    </xf>
    <xf numFmtId="170" fontId="25" fillId="0" borderId="0" xfId="0" applyNumberFormat="1" applyFont="1" applyAlignment="1">
      <alignment vertical="center"/>
    </xf>
    <xf numFmtId="189" fontId="5" fillId="0" borderId="0" xfId="8" applyNumberFormat="1" applyFont="1" applyFill="1"/>
    <xf numFmtId="4" fontId="31" fillId="0" borderId="0" xfId="0" applyNumberFormat="1" applyFont="1" applyAlignment="1">
      <alignment vertical="center"/>
    </xf>
    <xf numFmtId="4" fontId="32" fillId="0" borderId="0" xfId="33" applyNumberFormat="1" applyAlignment="1" applyProtection="1">
      <alignment horizontal="center" vertical="center" wrapText="1"/>
    </xf>
    <xf numFmtId="1" fontId="5" fillId="0" borderId="0" xfId="8" applyNumberFormat="1" applyFont="1" applyFill="1"/>
    <xf numFmtId="9" fontId="24" fillId="0" borderId="0" xfId="0" applyNumberFormat="1" applyFont="1"/>
    <xf numFmtId="3" fontId="22" fillId="0" borderId="2" xfId="0" applyNumberFormat="1" applyFont="1" applyBorder="1" applyAlignment="1">
      <alignment vertical="center"/>
    </xf>
    <xf numFmtId="3" fontId="23" fillId="0" borderId="2" xfId="0" applyNumberFormat="1" applyFont="1" applyBorder="1" applyAlignment="1">
      <alignment vertical="center"/>
    </xf>
    <xf numFmtId="205" fontId="5" fillId="0" borderId="0" xfId="6" applyNumberFormat="1" applyFont="1" applyFill="1"/>
    <xf numFmtId="1" fontId="38" fillId="0" borderId="0" xfId="7947" applyNumberFormat="1" applyFont="1" applyFill="1" applyAlignment="1">
      <alignment horizontal="center" vertical="center" wrapText="1"/>
    </xf>
    <xf numFmtId="3" fontId="93" fillId="0" borderId="0" xfId="0" applyNumberFormat="1" applyFont="1" applyBorder="1" applyAlignment="1">
      <alignment horizontal="right" vertical="center" wrapText="1"/>
    </xf>
    <xf numFmtId="0" fontId="93" fillId="0" borderId="0" xfId="0" applyFont="1" applyBorder="1" applyAlignment="1">
      <alignment horizontal="right" vertical="center" wrapText="1"/>
    </xf>
    <xf numFmtId="1" fontId="0" fillId="0" borderId="0" xfId="0" applyNumberFormat="1" applyBorder="1"/>
    <xf numFmtId="9" fontId="25" fillId="0" borderId="39" xfId="1" applyFont="1" applyBorder="1" applyAlignment="1">
      <alignment vertical="center"/>
    </xf>
    <xf numFmtId="9" fontId="36" fillId="0" borderId="0" xfId="0" applyNumberFormat="1" applyFont="1"/>
    <xf numFmtId="9" fontId="0" fillId="0" borderId="0" xfId="0" applyNumberFormat="1"/>
    <xf numFmtId="0" fontId="95" fillId="30" borderId="0" xfId="0" applyFont="1" applyFill="1"/>
    <xf numFmtId="3" fontId="95" fillId="30" borderId="0" xfId="0" applyNumberFormat="1" applyFont="1" applyFill="1"/>
    <xf numFmtId="166" fontId="95" fillId="30" borderId="0" xfId="1" applyNumberFormat="1" applyFont="1" applyFill="1"/>
    <xf numFmtId="0" fontId="96" fillId="31" borderId="0" xfId="0" applyFont="1" applyFill="1"/>
    <xf numFmtId="166" fontId="0" fillId="0" borderId="0" xfId="1" applyNumberFormat="1" applyFont="1"/>
    <xf numFmtId="10" fontId="0" fillId="0" borderId="0" xfId="0" applyNumberFormat="1"/>
    <xf numFmtId="171" fontId="97" fillId="0" borderId="14" xfId="8" applyNumberFormat="1" applyFont="1" applyFill="1" applyBorder="1" applyAlignment="1">
      <alignment horizontal="left"/>
    </xf>
    <xf numFmtId="0" fontId="99" fillId="0" borderId="0" xfId="8" applyFont="1" applyFill="1"/>
    <xf numFmtId="0" fontId="98" fillId="0" borderId="0" xfId="6" applyFont="1" applyFill="1" applyBorder="1"/>
    <xf numFmtId="1" fontId="98" fillId="0" borderId="0" xfId="6" applyNumberFormat="1" applyFont="1" applyFill="1" applyBorder="1"/>
    <xf numFmtId="0" fontId="99" fillId="0" borderId="0" xfId="8" applyFont="1" applyFill="1" applyAlignment="1">
      <alignment horizontal="left" indent="2"/>
    </xf>
    <xf numFmtId="1" fontId="99" fillId="0" borderId="0" xfId="8" applyNumberFormat="1" applyFont="1" applyFill="1"/>
    <xf numFmtId="0" fontId="99" fillId="0" borderId="0" xfId="8" applyFont="1" applyFill="1" applyAlignment="1">
      <alignment horizontal="right"/>
    </xf>
    <xf numFmtId="206" fontId="99" fillId="0" borderId="0" xfId="8" applyNumberFormat="1" applyFont="1" applyFill="1"/>
    <xf numFmtId="166" fontId="99" fillId="0" borderId="0" xfId="1" applyNumberFormat="1" applyFont="1" applyFill="1"/>
    <xf numFmtId="9" fontId="99" fillId="0" borderId="0" xfId="1" applyFont="1" applyFill="1"/>
    <xf numFmtId="0" fontId="0" fillId="0" borderId="0" xfId="0" applyAlignment="1">
      <alignment horizontal="left"/>
    </xf>
    <xf numFmtId="166" fontId="0" fillId="0" borderId="0" xfId="0" applyNumberFormat="1"/>
    <xf numFmtId="2" fontId="0" fillId="0" borderId="0" xfId="0" applyNumberFormat="1"/>
    <xf numFmtId="0" fontId="0" fillId="0" borderId="0" xfId="0" pivotButton="1"/>
    <xf numFmtId="1" fontId="98" fillId="0" borderId="14" xfId="8" applyNumberFormat="1" applyFont="1" applyFill="1" applyBorder="1" applyAlignment="1">
      <alignment horizontal="right"/>
    </xf>
    <xf numFmtId="1" fontId="99" fillId="0" borderId="0" xfId="6" applyNumberFormat="1" applyFont="1" applyFill="1" applyBorder="1"/>
    <xf numFmtId="169" fontId="99" fillId="0" borderId="0" xfId="8" applyNumberFormat="1" applyFont="1" applyFill="1"/>
    <xf numFmtId="0" fontId="98" fillId="2" borderId="0" xfId="6" applyFont="1" applyFill="1" applyBorder="1"/>
    <xf numFmtId="0" fontId="99" fillId="2" borderId="0" xfId="8" applyFont="1" applyFill="1"/>
    <xf numFmtId="0" fontId="99" fillId="2" borderId="0" xfId="8" applyFont="1" applyFill="1" applyAlignment="1">
      <alignment horizontal="right"/>
    </xf>
    <xf numFmtId="166" fontId="99" fillId="2" borderId="0" xfId="1" applyNumberFormat="1" applyFont="1" applyFill="1"/>
    <xf numFmtId="0" fontId="99" fillId="32" borderId="0" xfId="8" applyFont="1" applyFill="1"/>
    <xf numFmtId="0" fontId="99" fillId="32" borderId="0" xfId="8" applyFont="1" applyFill="1" applyAlignment="1">
      <alignment horizontal="right"/>
    </xf>
    <xf numFmtId="0" fontId="98" fillId="33" borderId="0" xfId="6" applyFont="1" applyFill="1" applyBorder="1"/>
    <xf numFmtId="0" fontId="99" fillId="33" borderId="0" xfId="8" applyFont="1" applyFill="1"/>
    <xf numFmtId="0" fontId="99" fillId="33" borderId="0" xfId="8" applyFont="1" applyFill="1" applyAlignment="1">
      <alignment horizontal="right"/>
    </xf>
    <xf numFmtId="166" fontId="99" fillId="33" borderId="0" xfId="1" applyNumberFormat="1" applyFont="1" applyFill="1"/>
    <xf numFmtId="0" fontId="23" fillId="0" borderId="2" xfId="0" applyFont="1" applyBorder="1" applyAlignment="1">
      <alignment horizontal="left" vertical="center"/>
    </xf>
    <xf numFmtId="0" fontId="24" fillId="0" borderId="0" xfId="0" applyFont="1" applyBorder="1" applyAlignment="1">
      <alignment horizontal="left" vertical="center" indent="1"/>
    </xf>
    <xf numFmtId="2" fontId="100" fillId="0" borderId="0" xfId="1" applyNumberFormat="1" applyFont="1" applyAlignment="1">
      <alignment vertical="center"/>
    </xf>
    <xf numFmtId="3" fontId="94" fillId="0" borderId="0" xfId="0" applyNumberFormat="1" applyFont="1" applyFill="1" applyAlignment="1">
      <alignment vertical="center"/>
    </xf>
    <xf numFmtId="207" fontId="50" fillId="0" borderId="0" xfId="0" applyNumberFormat="1" applyFont="1" applyFill="1"/>
    <xf numFmtId="1" fontId="38" fillId="0" borderId="0" xfId="30" applyNumberFormat="1" applyFont="1" applyFill="1" applyAlignment="1">
      <alignment horizontal="center" vertical="center" wrapText="1"/>
    </xf>
    <xf numFmtId="1" fontId="101" fillId="0" borderId="0" xfId="30" applyNumberFormat="1" applyFont="1" applyFill="1" applyAlignment="1">
      <alignment horizontal="center" vertical="center" wrapText="1"/>
    </xf>
    <xf numFmtId="0" fontId="102" fillId="0" borderId="0" xfId="0" applyNumberFormat="1" applyFont="1" applyFill="1" applyAlignment="1">
      <alignment horizontal="left" vertical="top" wrapText="1"/>
    </xf>
    <xf numFmtId="0" fontId="37" fillId="0" borderId="0" xfId="0" applyNumberFormat="1" applyFont="1" applyFill="1" applyAlignment="1">
      <alignment horizontal="left" vertical="top" wrapText="1"/>
    </xf>
    <xf numFmtId="3" fontId="24" fillId="4" borderId="0" xfId="0" applyNumberFormat="1" applyFont="1" applyFill="1" applyAlignment="1">
      <alignment vertical="center"/>
    </xf>
    <xf numFmtId="0" fontId="26" fillId="0" borderId="0" xfId="0" applyFont="1" applyFill="1" applyAlignment="1">
      <alignment horizontal="left" vertical="center" indent="7"/>
    </xf>
    <xf numFmtId="4" fontId="103" fillId="0" borderId="0" xfId="0" applyNumberFormat="1" applyFont="1" applyFill="1" applyAlignment="1">
      <alignment vertical="center"/>
    </xf>
    <xf numFmtId="4" fontId="104" fillId="0" borderId="0" xfId="0" applyNumberFormat="1" applyFont="1" applyFill="1" applyAlignment="1">
      <alignment vertical="center"/>
    </xf>
    <xf numFmtId="166" fontId="103" fillId="0" borderId="0" xfId="1" applyNumberFormat="1" applyFont="1" applyFill="1" applyAlignment="1">
      <alignment vertical="center"/>
    </xf>
    <xf numFmtId="166" fontId="104" fillId="0" borderId="0" xfId="1" applyNumberFormat="1" applyFont="1" applyFill="1" applyAlignment="1">
      <alignment vertical="center"/>
    </xf>
    <xf numFmtId="168" fontId="31" fillId="0" borderId="0" xfId="0" applyNumberFormat="1" applyFont="1" applyFill="1" applyAlignment="1">
      <alignment vertical="center"/>
    </xf>
    <xf numFmtId="3" fontId="33" fillId="0" borderId="0" xfId="0" applyNumberFormat="1" applyFont="1" applyFill="1" applyAlignment="1">
      <alignment vertical="center"/>
    </xf>
    <xf numFmtId="9" fontId="105" fillId="0" borderId="0" xfId="1" applyFont="1" applyAlignment="1">
      <alignment vertical="center"/>
    </xf>
    <xf numFmtId="9" fontId="106" fillId="0" borderId="0" xfId="1" applyNumberFormat="1" applyFont="1" applyAlignment="1">
      <alignment vertical="center"/>
    </xf>
    <xf numFmtId="190" fontId="33" fillId="0" borderId="0" xfId="0" applyNumberFormat="1" applyFont="1" applyFill="1" applyAlignment="1">
      <alignment vertical="center"/>
    </xf>
    <xf numFmtId="0" fontId="98" fillId="0" borderId="0" xfId="7948" applyFont="1" applyFill="1" applyBorder="1" applyAlignment="1">
      <alignment horizontal="left"/>
    </xf>
    <xf numFmtId="2" fontId="24" fillId="0" borderId="0" xfId="0" applyNumberFormat="1" applyFont="1" applyFill="1"/>
    <xf numFmtId="2" fontId="24" fillId="0" borderId="0" xfId="1" applyNumberFormat="1" applyFont="1" applyFill="1" applyAlignment="1">
      <alignment vertical="center"/>
    </xf>
    <xf numFmtId="2" fontId="24" fillId="0" borderId="0" xfId="0" applyNumberFormat="1" applyFont="1" applyFill="1" applyAlignment="1">
      <alignment vertical="center"/>
    </xf>
    <xf numFmtId="2" fontId="19" fillId="0" borderId="2" xfId="0" applyNumberFormat="1" applyFont="1" applyBorder="1"/>
    <xf numFmtId="2" fontId="19" fillId="0" borderId="0" xfId="0" applyNumberFormat="1" applyFont="1"/>
    <xf numFmtId="2" fontId="20" fillId="0" borderId="0" xfId="0" applyNumberFormat="1" applyFont="1"/>
    <xf numFmtId="2" fontId="23" fillId="0" borderId="0" xfId="0" applyNumberFormat="1" applyFont="1"/>
    <xf numFmtId="2" fontId="24" fillId="0" borderId="0" xfId="0" applyNumberFormat="1" applyFont="1" applyBorder="1"/>
    <xf numFmtId="2" fontId="93" fillId="0" borderId="0" xfId="0" applyNumberFormat="1" applyFont="1" applyBorder="1" applyAlignment="1">
      <alignment vertical="center" wrapText="1"/>
    </xf>
    <xf numFmtId="2" fontId="24" fillId="0" borderId="0" xfId="0" applyNumberFormat="1" applyFont="1" applyBorder="1" applyAlignment="1">
      <alignment horizontal="left"/>
    </xf>
    <xf numFmtId="2" fontId="0" fillId="0" borderId="0" xfId="0" applyNumberFormat="1" applyBorder="1"/>
    <xf numFmtId="2" fontId="28" fillId="0" borderId="0" xfId="1" applyNumberFormat="1" applyFont="1" applyAlignment="1">
      <alignment vertical="center"/>
    </xf>
    <xf numFmtId="9" fontId="28" fillId="0" borderId="0" xfId="1" applyFont="1" applyAlignment="1">
      <alignment vertical="center"/>
    </xf>
    <xf numFmtId="9" fontId="29" fillId="0" borderId="0" xfId="1" applyFont="1" applyAlignment="1">
      <alignment vertical="center"/>
    </xf>
    <xf numFmtId="3" fontId="113" fillId="0" borderId="0" xfId="0" applyNumberFormat="1" applyFont="1" applyFill="1" applyAlignment="1">
      <alignment vertical="center"/>
    </xf>
    <xf numFmtId="0" fontId="107" fillId="0" borderId="0" xfId="0" applyFont="1" applyBorder="1" applyAlignment="1">
      <alignment vertical="center"/>
    </xf>
    <xf numFmtId="0" fontId="108" fillId="0" borderId="0" xfId="0" applyFont="1" applyBorder="1" applyAlignment="1">
      <alignment horizontal="right" vertical="center"/>
    </xf>
    <xf numFmtId="0" fontId="107" fillId="0" borderId="0" xfId="0" applyFont="1" applyBorder="1" applyAlignment="1">
      <alignment horizontal="right" vertical="center"/>
    </xf>
    <xf numFmtId="0" fontId="109" fillId="0" borderId="0" xfId="0" applyFont="1" applyBorder="1" applyAlignment="1">
      <alignment horizontal="right" vertical="center"/>
    </xf>
    <xf numFmtId="0" fontId="110" fillId="0" borderId="0" xfId="0" applyFont="1" applyBorder="1" applyAlignment="1">
      <alignment vertical="center"/>
    </xf>
    <xf numFmtId="0" fontId="111" fillId="0" borderId="0" xfId="0" applyFont="1" applyBorder="1" applyAlignment="1">
      <alignment horizontal="right" vertical="center"/>
    </xf>
    <xf numFmtId="0" fontId="110" fillId="0" borderId="0" xfId="0" applyFont="1" applyBorder="1" applyAlignment="1">
      <alignment horizontal="left" vertical="center" indent="2"/>
    </xf>
    <xf numFmtId="0" fontId="110" fillId="0" borderId="0" xfId="0" applyFont="1" applyBorder="1" applyAlignment="1">
      <alignment horizontal="right" vertical="center"/>
    </xf>
    <xf numFmtId="0" fontId="112" fillId="0" borderId="0" xfId="0" applyFont="1" applyBorder="1" applyAlignment="1">
      <alignment horizontal="right" vertical="center"/>
    </xf>
    <xf numFmtId="9" fontId="25" fillId="0" borderId="0" xfId="1" applyFont="1" applyBorder="1" applyAlignment="1">
      <alignment vertical="center"/>
    </xf>
    <xf numFmtId="1" fontId="25" fillId="0" borderId="0" xfId="1" applyNumberFormat="1" applyFont="1" applyBorder="1" applyAlignment="1">
      <alignment vertical="center"/>
    </xf>
    <xf numFmtId="0" fontId="4" fillId="0" borderId="0" xfId="1437"/>
    <xf numFmtId="208" fontId="50" fillId="0" borderId="0" xfId="1437" applyNumberFormat="1" applyFont="1" applyFill="1"/>
    <xf numFmtId="9" fontId="38" fillId="0" borderId="0" xfId="4991" applyFont="1" applyFill="1" applyAlignment="1">
      <alignment wrapText="1"/>
    </xf>
    <xf numFmtId="2" fontId="38" fillId="0" borderId="0" xfId="1437" applyNumberFormat="1" applyFont="1" applyFill="1" applyAlignment="1">
      <alignment wrapText="1"/>
    </xf>
    <xf numFmtId="15" fontId="37" fillId="0" borderId="0" xfId="1437" applyNumberFormat="1" applyFont="1" applyFill="1" applyAlignment="1">
      <alignment wrapText="1"/>
    </xf>
    <xf numFmtId="0" fontId="38" fillId="0" borderId="0" xfId="1437" applyFont="1" applyFill="1" applyAlignment="1">
      <alignment wrapText="1"/>
    </xf>
    <xf numFmtId="1" fontId="38" fillId="0" borderId="0" xfId="1437" applyNumberFormat="1" applyFont="1" applyFill="1" applyAlignment="1">
      <alignment wrapText="1"/>
    </xf>
    <xf numFmtId="1" fontId="4" fillId="0" borderId="0" xfId="1437" applyNumberFormat="1"/>
    <xf numFmtId="0" fontId="37" fillId="0" borderId="0" xfId="1437" applyNumberFormat="1" applyFont="1" applyFill="1" applyAlignment="1">
      <alignment horizontal="left" wrapText="1"/>
    </xf>
    <xf numFmtId="9" fontId="38" fillId="0" borderId="2" xfId="1437" applyNumberFormat="1" applyFont="1" applyFill="1" applyBorder="1" applyAlignment="1">
      <alignment wrapText="1"/>
    </xf>
    <xf numFmtId="1" fontId="38" fillId="0" borderId="2" xfId="1437" applyNumberFormat="1" applyFont="1" applyFill="1" applyBorder="1" applyAlignment="1">
      <alignment wrapText="1"/>
    </xf>
    <xf numFmtId="15" fontId="37" fillId="0" borderId="2" xfId="1437" applyNumberFormat="1" applyFont="1" applyFill="1" applyBorder="1" applyAlignment="1">
      <alignment wrapText="1"/>
    </xf>
    <xf numFmtId="9" fontId="38" fillId="0" borderId="0" xfId="1437" applyNumberFormat="1" applyFont="1" applyFill="1" applyAlignment="1">
      <alignment wrapText="1"/>
    </xf>
    <xf numFmtId="9" fontId="38" fillId="0" borderId="2" xfId="4991" applyFont="1" applyFill="1" applyBorder="1" applyAlignment="1">
      <alignment wrapText="1"/>
    </xf>
    <xf numFmtId="0" fontId="38" fillId="0" borderId="2" xfId="1437" applyFont="1" applyFill="1" applyBorder="1" applyAlignment="1">
      <alignment wrapText="1"/>
    </xf>
    <xf numFmtId="0" fontId="4" fillId="0" borderId="0" xfId="1437" applyFont="1"/>
    <xf numFmtId="0" fontId="4" fillId="0" borderId="0" xfId="1437" applyFont="1" applyFill="1" applyBorder="1"/>
    <xf numFmtId="9" fontId="38" fillId="0" borderId="0" xfId="4991" applyFont="1" applyFill="1" applyBorder="1" applyAlignment="1">
      <alignment wrapText="1"/>
    </xf>
    <xf numFmtId="0" fontId="38" fillId="0" borderId="0" xfId="1437" applyFont="1" applyFill="1" applyBorder="1" applyAlignment="1">
      <alignment wrapText="1"/>
    </xf>
    <xf numFmtId="1" fontId="38" fillId="0" borderId="0" xfId="1437" applyNumberFormat="1" applyFont="1" applyFill="1" applyBorder="1" applyAlignment="1">
      <alignment wrapText="1"/>
    </xf>
    <xf numFmtId="0" fontId="4" fillId="0" borderId="2" xfId="1437" applyBorder="1"/>
    <xf numFmtId="1" fontId="4" fillId="0" borderId="2" xfId="1437" applyNumberFormat="1" applyBorder="1"/>
    <xf numFmtId="0" fontId="101" fillId="0" borderId="2" xfId="1437" applyFont="1" applyBorder="1"/>
    <xf numFmtId="190" fontId="24" fillId="0" borderId="0" xfId="0" applyNumberFormat="1" applyFont="1" applyAlignment="1">
      <alignment horizontal="center" vertical="center" wrapText="1"/>
    </xf>
    <xf numFmtId="206" fontId="4" fillId="0" borderId="0" xfId="1437" applyNumberFormat="1"/>
    <xf numFmtId="191" fontId="117" fillId="0" borderId="0" xfId="32" applyNumberFormat="1" applyFont="1" applyFill="1" applyAlignment="1">
      <alignment horizontal="center" vertical="center" wrapText="1"/>
    </xf>
    <xf numFmtId="15" fontId="116" fillId="0" borderId="0" xfId="0" applyNumberFormat="1" applyFont="1" applyFill="1" applyAlignment="1">
      <alignment wrapText="1"/>
    </xf>
    <xf numFmtId="0" fontId="13" fillId="0" borderId="0" xfId="7949"/>
    <xf numFmtId="0" fontId="13" fillId="0" borderId="0" xfId="7949" applyBorder="1"/>
    <xf numFmtId="0" fontId="115" fillId="0" borderId="0" xfId="7949" applyFont="1"/>
    <xf numFmtId="169" fontId="13" fillId="0" borderId="0" xfId="7949" applyNumberFormat="1" applyBorder="1"/>
    <xf numFmtId="14" fontId="24" fillId="0" borderId="0" xfId="0" applyNumberFormat="1" applyFont="1"/>
    <xf numFmtId="2" fontId="24" fillId="0" borderId="0" xfId="0" applyNumberFormat="1" applyFont="1" applyAlignment="1">
      <alignment horizontal="center"/>
    </xf>
    <xf numFmtId="3" fontId="31" fillId="4" borderId="0" xfId="0" applyNumberFormat="1" applyFont="1" applyFill="1" applyAlignment="1">
      <alignment vertical="center"/>
    </xf>
    <xf numFmtId="3" fontId="31" fillId="0" borderId="0" xfId="0" applyNumberFormat="1" applyFont="1" applyBorder="1" applyAlignment="1">
      <alignment vertical="center"/>
    </xf>
    <xf numFmtId="3" fontId="31" fillId="0" borderId="61" xfId="0" applyNumberFormat="1" applyFont="1" applyFill="1" applyBorder="1" applyAlignment="1">
      <alignment vertical="center"/>
    </xf>
    <xf numFmtId="3" fontId="31" fillId="0" borderId="62" xfId="0" applyNumberFormat="1" applyFont="1" applyFill="1" applyBorder="1" applyAlignment="1">
      <alignment vertical="center"/>
    </xf>
    <xf numFmtId="3" fontId="31" fillId="0" borderId="0" xfId="0" applyNumberFormat="1" applyFont="1" applyFill="1" applyBorder="1" applyAlignment="1">
      <alignment vertical="center"/>
    </xf>
    <xf numFmtId="1" fontId="0" fillId="0" borderId="0" xfId="0" applyNumberFormat="1"/>
    <xf numFmtId="3" fontId="23" fillId="0" borderId="0" xfId="0" applyNumberFormat="1" applyFont="1" applyFill="1" applyBorder="1" applyAlignment="1">
      <alignment vertical="center"/>
    </xf>
    <xf numFmtId="3" fontId="113" fillId="4" borderId="0" xfId="0" applyNumberFormat="1" applyFont="1" applyFill="1" applyAlignment="1">
      <alignment vertical="center"/>
    </xf>
    <xf numFmtId="3" fontId="24" fillId="35" borderId="0" xfId="0" applyNumberFormat="1" applyFont="1" applyFill="1" applyAlignment="1">
      <alignment vertical="center"/>
    </xf>
    <xf numFmtId="3" fontId="31" fillId="35" borderId="0" xfId="0" applyNumberFormat="1" applyFont="1" applyFill="1" applyAlignment="1">
      <alignment vertical="center"/>
    </xf>
    <xf numFmtId="166" fontId="24" fillId="0" borderId="0" xfId="1" applyNumberFormat="1" applyFont="1" applyFill="1" applyAlignment="1">
      <alignment horizontal="center" vertical="center" wrapText="1"/>
    </xf>
    <xf numFmtId="0" fontId="99" fillId="34" borderId="53" xfId="8" applyFont="1" applyFill="1" applyBorder="1" applyAlignment="1">
      <alignment horizontal="left" vertical="top" wrapText="1"/>
    </xf>
    <xf numFmtId="0" fontId="99" fillId="34" borderId="54" xfId="8" applyFont="1" applyFill="1" applyBorder="1" applyAlignment="1">
      <alignment horizontal="left" vertical="top"/>
    </xf>
    <xf numFmtId="0" fontId="99" fillId="34" borderId="55" xfId="8" applyFont="1" applyFill="1" applyBorder="1" applyAlignment="1">
      <alignment horizontal="left" vertical="top"/>
    </xf>
    <xf numFmtId="0" fontId="99" fillId="34" borderId="56" xfId="8" applyFont="1" applyFill="1" applyBorder="1" applyAlignment="1">
      <alignment horizontal="left" vertical="top"/>
    </xf>
    <xf numFmtId="0" fontId="99" fillId="34" borderId="0" xfId="8" applyFont="1" applyFill="1" applyBorder="1" applyAlignment="1">
      <alignment horizontal="left" vertical="top"/>
    </xf>
    <xf numFmtId="0" fontId="99" fillId="34" borderId="57" xfId="8" applyFont="1" applyFill="1" applyBorder="1" applyAlignment="1">
      <alignment horizontal="left" vertical="top"/>
    </xf>
    <xf numFmtId="0" fontId="99" fillId="34" borderId="58" xfId="8" applyFont="1" applyFill="1" applyBorder="1" applyAlignment="1">
      <alignment horizontal="left" vertical="top"/>
    </xf>
    <xf numFmtId="0" fontId="99" fillId="34" borderId="59" xfId="8" applyFont="1" applyFill="1" applyBorder="1" applyAlignment="1">
      <alignment horizontal="left" vertical="top"/>
    </xf>
    <xf numFmtId="0" fontId="99" fillId="34" borderId="60" xfId="8" applyFont="1" applyFill="1" applyBorder="1" applyAlignment="1">
      <alignment horizontal="left" vertical="top"/>
    </xf>
    <xf numFmtId="14" fontId="24" fillId="0" borderId="0" xfId="0" applyNumberFormat="1" applyFont="1" applyBorder="1" applyAlignment="1">
      <alignment vertical="center"/>
    </xf>
    <xf numFmtId="4" fontId="118" fillId="0" borderId="0" xfId="0" applyNumberFormat="1" applyFont="1" applyFill="1" applyAlignment="1">
      <alignment vertical="center"/>
    </xf>
    <xf numFmtId="9" fontId="120" fillId="0" borderId="0" xfId="1" applyFont="1" applyAlignment="1">
      <alignment vertical="center"/>
    </xf>
    <xf numFmtId="190" fontId="24" fillId="4" borderId="0" xfId="0" applyNumberFormat="1" applyFont="1" applyFill="1" applyAlignment="1">
      <alignment vertical="center"/>
    </xf>
    <xf numFmtId="3" fontId="119" fillId="4" borderId="0" xfId="0" applyNumberFormat="1" applyFont="1" applyFill="1" applyAlignment="1">
      <alignment vertical="center"/>
    </xf>
  </cellXfs>
  <cellStyles count="7953">
    <cellStyle name=" 1" xfId="9"/>
    <cellStyle name="_CEEC model (V 1.10)" xfId="10"/>
    <cellStyle name="_CEEC model (V 1.5)" xfId="11"/>
    <cellStyle name="_CEEC model (V 1.6)" xfId="12"/>
    <cellStyle name="_CEEC model (V 2.2)" xfId="13"/>
    <cellStyle name="_CEEN model (V 2.3.8)" xfId="14"/>
    <cellStyle name="_ConsensusVSestimates" xfId="34"/>
    <cellStyle name="_DNIPROENERGO_3" xfId="15"/>
    <cellStyle name="_netcare 1H10" xfId="35"/>
    <cellStyle name="_SLAV_IN-V(1.1.6)" xfId="16"/>
    <cellStyle name="0" xfId="36"/>
    <cellStyle name="0%" xfId="37"/>
    <cellStyle name="0% 10" xfId="38"/>
    <cellStyle name="0% 10 10" xfId="39"/>
    <cellStyle name="0% 10 11" xfId="40"/>
    <cellStyle name="0% 10 12" xfId="41"/>
    <cellStyle name="0% 10 13" xfId="42"/>
    <cellStyle name="0% 10 14" xfId="43"/>
    <cellStyle name="0% 10 15" xfId="44"/>
    <cellStyle name="0% 10 16" xfId="45"/>
    <cellStyle name="0% 10 17" xfId="46"/>
    <cellStyle name="0% 10 18" xfId="47"/>
    <cellStyle name="0% 10 19" xfId="48"/>
    <cellStyle name="0% 10 2" xfId="49"/>
    <cellStyle name="0% 10 20" xfId="50"/>
    <cellStyle name="0% 10 21" xfId="51"/>
    <cellStyle name="0% 10 22" xfId="52"/>
    <cellStyle name="0% 10 23" xfId="53"/>
    <cellStyle name="0% 10 24" xfId="54"/>
    <cellStyle name="0% 10 25" xfId="55"/>
    <cellStyle name="0% 10 26" xfId="56"/>
    <cellStyle name="0% 10 27" xfId="57"/>
    <cellStyle name="0% 10 3" xfId="58"/>
    <cellStyle name="0% 10 4" xfId="59"/>
    <cellStyle name="0% 10 5" xfId="60"/>
    <cellStyle name="0% 10 6" xfId="61"/>
    <cellStyle name="0% 10 7" xfId="62"/>
    <cellStyle name="0% 10 8" xfId="63"/>
    <cellStyle name="0% 10 9" xfId="64"/>
    <cellStyle name="0% 11" xfId="65"/>
    <cellStyle name="0% 11 10" xfId="66"/>
    <cellStyle name="0% 11 11" xfId="67"/>
    <cellStyle name="0% 11 12" xfId="68"/>
    <cellStyle name="0% 11 13" xfId="69"/>
    <cellStyle name="0% 11 14" xfId="70"/>
    <cellStyle name="0% 11 15" xfId="71"/>
    <cellStyle name="0% 11 16" xfId="72"/>
    <cellStyle name="0% 11 17" xfId="73"/>
    <cellStyle name="0% 11 18" xfId="74"/>
    <cellStyle name="0% 11 19" xfId="75"/>
    <cellStyle name="0% 11 2" xfId="76"/>
    <cellStyle name="0% 11 20" xfId="77"/>
    <cellStyle name="0% 11 21" xfId="78"/>
    <cellStyle name="0% 11 22" xfId="79"/>
    <cellStyle name="0% 11 23" xfId="80"/>
    <cellStyle name="0% 11 24" xfId="81"/>
    <cellStyle name="0% 11 25" xfId="82"/>
    <cellStyle name="0% 11 26" xfId="83"/>
    <cellStyle name="0% 11 27" xfId="84"/>
    <cellStyle name="0% 11 28" xfId="85"/>
    <cellStyle name="0% 11 29" xfId="86"/>
    <cellStyle name="0% 11 3" xfId="87"/>
    <cellStyle name="0% 11 30" xfId="88"/>
    <cellStyle name="0% 11 31" xfId="89"/>
    <cellStyle name="0% 11 32" xfId="90"/>
    <cellStyle name="0% 11 33" xfId="91"/>
    <cellStyle name="0% 11 34" xfId="92"/>
    <cellStyle name="0% 11 35" xfId="93"/>
    <cellStyle name="0% 11 36" xfId="94"/>
    <cellStyle name="0% 11 37" xfId="95"/>
    <cellStyle name="0% 11 38" xfId="96"/>
    <cellStyle name="0% 11 39" xfId="97"/>
    <cellStyle name="0% 11 4" xfId="98"/>
    <cellStyle name="0% 11 40" xfId="99"/>
    <cellStyle name="0% 11 41" xfId="100"/>
    <cellStyle name="0% 11 42" xfId="101"/>
    <cellStyle name="0% 11 43" xfId="102"/>
    <cellStyle name="0% 11 44" xfId="103"/>
    <cellStyle name="0% 11 45" xfId="104"/>
    <cellStyle name="0% 11 46" xfId="105"/>
    <cellStyle name="0% 11 47" xfId="106"/>
    <cellStyle name="0% 11 48" xfId="107"/>
    <cellStyle name="0% 11 49" xfId="108"/>
    <cellStyle name="0% 11 5" xfId="109"/>
    <cellStyle name="0% 11 50" xfId="110"/>
    <cellStyle name="0% 11 51" xfId="111"/>
    <cellStyle name="0% 11 52" xfId="112"/>
    <cellStyle name="0% 11 53" xfId="113"/>
    <cellStyle name="0% 11 54" xfId="114"/>
    <cellStyle name="0% 11 55" xfId="115"/>
    <cellStyle name="0% 11 56" xfId="116"/>
    <cellStyle name="0% 11 57" xfId="117"/>
    <cellStyle name="0% 11 58" xfId="118"/>
    <cellStyle name="0% 11 59" xfId="119"/>
    <cellStyle name="0% 11 6" xfId="120"/>
    <cellStyle name="0% 11 60" xfId="121"/>
    <cellStyle name="0% 11 61" xfId="122"/>
    <cellStyle name="0% 11 62" xfId="123"/>
    <cellStyle name="0% 11 63" xfId="124"/>
    <cellStyle name="0% 11 64" xfId="125"/>
    <cellStyle name="0% 11 65" xfId="126"/>
    <cellStyle name="0% 11 66" xfId="127"/>
    <cellStyle name="0% 11 67" xfId="128"/>
    <cellStyle name="0% 11 68" xfId="129"/>
    <cellStyle name="0% 11 69" xfId="130"/>
    <cellStyle name="0% 11 7" xfId="131"/>
    <cellStyle name="0% 11 70" xfId="132"/>
    <cellStyle name="0% 11 8" xfId="133"/>
    <cellStyle name="0% 11 9" xfId="134"/>
    <cellStyle name="0% 12" xfId="135"/>
    <cellStyle name="0% 12 10" xfId="136"/>
    <cellStyle name="0% 12 11" xfId="137"/>
    <cellStyle name="0% 12 12" xfId="138"/>
    <cellStyle name="0% 12 13" xfId="139"/>
    <cellStyle name="0% 12 14" xfId="140"/>
    <cellStyle name="0% 12 15" xfId="141"/>
    <cellStyle name="0% 12 16" xfId="142"/>
    <cellStyle name="0% 12 17" xfId="143"/>
    <cellStyle name="0% 12 18" xfId="144"/>
    <cellStyle name="0% 12 19" xfId="145"/>
    <cellStyle name="0% 12 2" xfId="146"/>
    <cellStyle name="0% 12 20" xfId="147"/>
    <cellStyle name="0% 12 21" xfId="148"/>
    <cellStyle name="0% 12 22" xfId="149"/>
    <cellStyle name="0% 12 23" xfId="150"/>
    <cellStyle name="0% 12 24" xfId="151"/>
    <cellStyle name="0% 12 25" xfId="152"/>
    <cellStyle name="0% 12 26" xfId="153"/>
    <cellStyle name="0% 12 27" xfId="154"/>
    <cellStyle name="0% 12 28" xfId="155"/>
    <cellStyle name="0% 12 29" xfId="156"/>
    <cellStyle name="0% 12 3" xfId="157"/>
    <cellStyle name="0% 12 30" xfId="158"/>
    <cellStyle name="0% 12 31" xfId="159"/>
    <cellStyle name="0% 12 32" xfId="160"/>
    <cellStyle name="0% 12 33" xfId="161"/>
    <cellStyle name="0% 12 34" xfId="162"/>
    <cellStyle name="0% 12 35" xfId="163"/>
    <cellStyle name="0% 12 36" xfId="164"/>
    <cellStyle name="0% 12 37" xfId="165"/>
    <cellStyle name="0% 12 38" xfId="166"/>
    <cellStyle name="0% 12 39" xfId="167"/>
    <cellStyle name="0% 12 4" xfId="168"/>
    <cellStyle name="0% 12 40" xfId="169"/>
    <cellStyle name="0% 12 41" xfId="170"/>
    <cellStyle name="0% 12 42" xfId="171"/>
    <cellStyle name="0% 12 43" xfId="172"/>
    <cellStyle name="0% 12 44" xfId="173"/>
    <cellStyle name="0% 12 45" xfId="174"/>
    <cellStyle name="0% 12 46" xfId="175"/>
    <cellStyle name="0% 12 47" xfId="176"/>
    <cellStyle name="0% 12 48" xfId="177"/>
    <cellStyle name="0% 12 49" xfId="178"/>
    <cellStyle name="0% 12 5" xfId="179"/>
    <cellStyle name="0% 12 50" xfId="180"/>
    <cellStyle name="0% 12 51" xfId="181"/>
    <cellStyle name="0% 12 52" xfId="182"/>
    <cellStyle name="0% 12 53" xfId="183"/>
    <cellStyle name="0% 12 54" xfId="184"/>
    <cellStyle name="0% 12 55" xfId="185"/>
    <cellStyle name="0% 12 56" xfId="186"/>
    <cellStyle name="0% 12 57" xfId="187"/>
    <cellStyle name="0% 12 58" xfId="188"/>
    <cellStyle name="0% 12 59" xfId="189"/>
    <cellStyle name="0% 12 6" xfId="190"/>
    <cellStyle name="0% 12 60" xfId="191"/>
    <cellStyle name="0% 12 61" xfId="192"/>
    <cellStyle name="0% 12 62" xfId="193"/>
    <cellStyle name="0% 12 63" xfId="194"/>
    <cellStyle name="0% 12 64" xfId="195"/>
    <cellStyle name="0% 12 65" xfId="196"/>
    <cellStyle name="0% 12 66" xfId="197"/>
    <cellStyle name="0% 12 67" xfId="198"/>
    <cellStyle name="0% 12 68" xfId="199"/>
    <cellStyle name="0% 12 69" xfId="200"/>
    <cellStyle name="0% 12 7" xfId="201"/>
    <cellStyle name="0% 12 70" xfId="202"/>
    <cellStyle name="0% 12 8" xfId="203"/>
    <cellStyle name="0% 12 9" xfId="204"/>
    <cellStyle name="0% 13" xfId="205"/>
    <cellStyle name="0% 13 10" xfId="206"/>
    <cellStyle name="0% 13 11" xfId="207"/>
    <cellStyle name="0% 13 12" xfId="208"/>
    <cellStyle name="0% 13 13" xfId="209"/>
    <cellStyle name="0% 13 14" xfId="210"/>
    <cellStyle name="0% 13 15" xfId="211"/>
    <cellStyle name="0% 13 16" xfId="212"/>
    <cellStyle name="0% 13 17" xfId="213"/>
    <cellStyle name="0% 13 18" xfId="214"/>
    <cellStyle name="0% 13 19" xfId="215"/>
    <cellStyle name="0% 13 2" xfId="216"/>
    <cellStyle name="0% 13 20" xfId="217"/>
    <cellStyle name="0% 13 21" xfId="218"/>
    <cellStyle name="0% 13 22" xfId="219"/>
    <cellStyle name="0% 13 23" xfId="220"/>
    <cellStyle name="0% 13 24" xfId="221"/>
    <cellStyle name="0% 13 25" xfId="222"/>
    <cellStyle name="0% 13 26" xfId="223"/>
    <cellStyle name="0% 13 27" xfId="224"/>
    <cellStyle name="0% 13 28" xfId="225"/>
    <cellStyle name="0% 13 29" xfId="226"/>
    <cellStyle name="0% 13 3" xfId="227"/>
    <cellStyle name="0% 13 30" xfId="228"/>
    <cellStyle name="0% 13 31" xfId="229"/>
    <cellStyle name="0% 13 32" xfId="230"/>
    <cellStyle name="0% 13 33" xfId="231"/>
    <cellStyle name="0% 13 34" xfId="232"/>
    <cellStyle name="0% 13 35" xfId="233"/>
    <cellStyle name="0% 13 36" xfId="234"/>
    <cellStyle name="0% 13 37" xfId="235"/>
    <cellStyle name="0% 13 38" xfId="236"/>
    <cellStyle name="0% 13 39" xfId="237"/>
    <cellStyle name="0% 13 4" xfId="238"/>
    <cellStyle name="0% 13 40" xfId="239"/>
    <cellStyle name="0% 13 41" xfId="240"/>
    <cellStyle name="0% 13 42" xfId="241"/>
    <cellStyle name="0% 13 43" xfId="242"/>
    <cellStyle name="0% 13 44" xfId="243"/>
    <cellStyle name="0% 13 45" xfId="244"/>
    <cellStyle name="0% 13 46" xfId="245"/>
    <cellStyle name="0% 13 47" xfId="246"/>
    <cellStyle name="0% 13 48" xfId="247"/>
    <cellStyle name="0% 13 49" xfId="248"/>
    <cellStyle name="0% 13 5" xfId="249"/>
    <cellStyle name="0% 13 50" xfId="250"/>
    <cellStyle name="0% 13 51" xfId="251"/>
    <cellStyle name="0% 13 52" xfId="252"/>
    <cellStyle name="0% 13 53" xfId="253"/>
    <cellStyle name="0% 13 54" xfId="254"/>
    <cellStyle name="0% 13 55" xfId="255"/>
    <cellStyle name="0% 13 56" xfId="256"/>
    <cellStyle name="0% 13 57" xfId="257"/>
    <cellStyle name="0% 13 58" xfId="258"/>
    <cellStyle name="0% 13 59" xfId="259"/>
    <cellStyle name="0% 13 6" xfId="260"/>
    <cellStyle name="0% 13 60" xfId="261"/>
    <cellStyle name="0% 13 61" xfId="262"/>
    <cellStyle name="0% 13 62" xfId="263"/>
    <cellStyle name="0% 13 63" xfId="264"/>
    <cellStyle name="0% 13 64" xfId="265"/>
    <cellStyle name="0% 13 65" xfId="266"/>
    <cellStyle name="0% 13 66" xfId="267"/>
    <cellStyle name="0% 13 67" xfId="268"/>
    <cellStyle name="0% 13 68" xfId="269"/>
    <cellStyle name="0% 13 69" xfId="270"/>
    <cellStyle name="0% 13 7" xfId="271"/>
    <cellStyle name="0% 13 70" xfId="272"/>
    <cellStyle name="0% 13 8" xfId="273"/>
    <cellStyle name="0% 13 9" xfId="274"/>
    <cellStyle name="0% 14" xfId="275"/>
    <cellStyle name="0% 14 10" xfId="276"/>
    <cellStyle name="0% 14 11" xfId="277"/>
    <cellStyle name="0% 14 12" xfId="278"/>
    <cellStyle name="0% 14 13" xfId="279"/>
    <cellStyle name="0% 14 14" xfId="280"/>
    <cellStyle name="0% 14 15" xfId="281"/>
    <cellStyle name="0% 14 16" xfId="282"/>
    <cellStyle name="0% 14 17" xfId="283"/>
    <cellStyle name="0% 14 18" xfId="284"/>
    <cellStyle name="0% 14 19" xfId="285"/>
    <cellStyle name="0% 14 2" xfId="286"/>
    <cellStyle name="0% 14 20" xfId="287"/>
    <cellStyle name="0% 14 21" xfId="288"/>
    <cellStyle name="0% 14 22" xfId="289"/>
    <cellStyle name="0% 14 23" xfId="290"/>
    <cellStyle name="0% 14 24" xfId="291"/>
    <cellStyle name="0% 14 25" xfId="292"/>
    <cellStyle name="0% 14 26" xfId="293"/>
    <cellStyle name="0% 14 27" xfId="294"/>
    <cellStyle name="0% 14 28" xfId="295"/>
    <cellStyle name="0% 14 29" xfId="296"/>
    <cellStyle name="0% 14 3" xfId="297"/>
    <cellStyle name="0% 14 30" xfId="298"/>
    <cellStyle name="0% 14 31" xfId="299"/>
    <cellStyle name="0% 14 32" xfId="300"/>
    <cellStyle name="0% 14 33" xfId="301"/>
    <cellStyle name="0% 14 34" xfId="302"/>
    <cellStyle name="0% 14 35" xfId="303"/>
    <cellStyle name="0% 14 36" xfId="304"/>
    <cellStyle name="0% 14 37" xfId="305"/>
    <cellStyle name="0% 14 38" xfId="306"/>
    <cellStyle name="0% 14 39" xfId="307"/>
    <cellStyle name="0% 14 4" xfId="308"/>
    <cellStyle name="0% 14 40" xfId="309"/>
    <cellStyle name="0% 14 41" xfId="310"/>
    <cellStyle name="0% 14 42" xfId="311"/>
    <cellStyle name="0% 14 43" xfId="312"/>
    <cellStyle name="0% 14 44" xfId="313"/>
    <cellStyle name="0% 14 45" xfId="314"/>
    <cellStyle name="0% 14 46" xfId="315"/>
    <cellStyle name="0% 14 47" xfId="316"/>
    <cellStyle name="0% 14 48" xfId="317"/>
    <cellStyle name="0% 14 49" xfId="318"/>
    <cellStyle name="0% 14 5" xfId="319"/>
    <cellStyle name="0% 14 50" xfId="320"/>
    <cellStyle name="0% 14 51" xfId="321"/>
    <cellStyle name="0% 14 52" xfId="322"/>
    <cellStyle name="0% 14 53" xfId="323"/>
    <cellStyle name="0% 14 54" xfId="324"/>
    <cellStyle name="0% 14 55" xfId="325"/>
    <cellStyle name="0% 14 56" xfId="326"/>
    <cellStyle name="0% 14 57" xfId="327"/>
    <cellStyle name="0% 14 58" xfId="328"/>
    <cellStyle name="0% 14 59" xfId="329"/>
    <cellStyle name="0% 14 6" xfId="330"/>
    <cellStyle name="0% 14 60" xfId="331"/>
    <cellStyle name="0% 14 61" xfId="332"/>
    <cellStyle name="0% 14 62" xfId="333"/>
    <cellStyle name="0% 14 63" xfId="334"/>
    <cellStyle name="0% 14 64" xfId="335"/>
    <cellStyle name="0% 14 65" xfId="336"/>
    <cellStyle name="0% 14 66" xfId="337"/>
    <cellStyle name="0% 14 67" xfId="338"/>
    <cellStyle name="0% 14 68" xfId="339"/>
    <cellStyle name="0% 14 69" xfId="340"/>
    <cellStyle name="0% 14 7" xfId="341"/>
    <cellStyle name="0% 14 70" xfId="342"/>
    <cellStyle name="0% 14 8" xfId="343"/>
    <cellStyle name="0% 14 9" xfId="344"/>
    <cellStyle name="0% 15" xfId="345"/>
    <cellStyle name="0% 15 10" xfId="346"/>
    <cellStyle name="0% 15 11" xfId="347"/>
    <cellStyle name="0% 15 12" xfId="348"/>
    <cellStyle name="0% 15 13" xfId="349"/>
    <cellStyle name="0% 15 14" xfId="350"/>
    <cellStyle name="0% 15 15" xfId="351"/>
    <cellStyle name="0% 15 16" xfId="352"/>
    <cellStyle name="0% 15 17" xfId="353"/>
    <cellStyle name="0% 15 18" xfId="354"/>
    <cellStyle name="0% 15 19" xfId="355"/>
    <cellStyle name="0% 15 2" xfId="356"/>
    <cellStyle name="0% 15 20" xfId="357"/>
    <cellStyle name="0% 15 21" xfId="358"/>
    <cellStyle name="0% 15 22" xfId="359"/>
    <cellStyle name="0% 15 23" xfId="360"/>
    <cellStyle name="0% 15 24" xfId="361"/>
    <cellStyle name="0% 15 25" xfId="362"/>
    <cellStyle name="0% 15 26" xfId="363"/>
    <cellStyle name="0% 15 27" xfId="364"/>
    <cellStyle name="0% 15 3" xfId="365"/>
    <cellStyle name="0% 15 4" xfId="366"/>
    <cellStyle name="0% 15 5" xfId="367"/>
    <cellStyle name="0% 15 6" xfId="368"/>
    <cellStyle name="0% 15 7" xfId="369"/>
    <cellStyle name="0% 15 8" xfId="370"/>
    <cellStyle name="0% 15 9" xfId="371"/>
    <cellStyle name="0% 16" xfId="372"/>
    <cellStyle name="0% 16 10" xfId="373"/>
    <cellStyle name="0% 16 11" xfId="374"/>
    <cellStyle name="0% 16 12" xfId="375"/>
    <cellStyle name="0% 16 13" xfId="376"/>
    <cellStyle name="0% 16 14" xfId="377"/>
    <cellStyle name="0% 16 15" xfId="378"/>
    <cellStyle name="0% 16 16" xfId="379"/>
    <cellStyle name="0% 16 17" xfId="380"/>
    <cellStyle name="0% 16 18" xfId="381"/>
    <cellStyle name="0% 16 19" xfId="382"/>
    <cellStyle name="0% 16 2" xfId="383"/>
    <cellStyle name="0% 16 3" xfId="384"/>
    <cellStyle name="0% 16 4" xfId="385"/>
    <cellStyle name="0% 16 5" xfId="386"/>
    <cellStyle name="0% 16 6" xfId="387"/>
    <cellStyle name="0% 16 7" xfId="388"/>
    <cellStyle name="0% 16 8" xfId="389"/>
    <cellStyle name="0% 16 9" xfId="390"/>
    <cellStyle name="0% 17" xfId="391"/>
    <cellStyle name="0% 18" xfId="392"/>
    <cellStyle name="0% 19" xfId="393"/>
    <cellStyle name="0% 2" xfId="394"/>
    <cellStyle name="0% 2 10" xfId="395"/>
    <cellStyle name="0% 2 11" xfId="396"/>
    <cellStyle name="0% 2 12" xfId="397"/>
    <cellStyle name="0% 2 13" xfId="398"/>
    <cellStyle name="0% 2 14" xfId="399"/>
    <cellStyle name="0% 2 15" xfId="400"/>
    <cellStyle name="0% 2 16" xfId="401"/>
    <cellStyle name="0% 2 17" xfId="402"/>
    <cellStyle name="0% 2 18" xfId="403"/>
    <cellStyle name="0% 2 19" xfId="404"/>
    <cellStyle name="0% 2 2" xfId="405"/>
    <cellStyle name="0% 2 20" xfId="406"/>
    <cellStyle name="0% 2 21" xfId="407"/>
    <cellStyle name="0% 2 22" xfId="408"/>
    <cellStyle name="0% 2 23" xfId="409"/>
    <cellStyle name="0% 2 24" xfId="410"/>
    <cellStyle name="0% 2 25" xfId="411"/>
    <cellStyle name="0% 2 26" xfId="412"/>
    <cellStyle name="0% 2 27" xfId="413"/>
    <cellStyle name="0% 2 28" xfId="414"/>
    <cellStyle name="0% 2 29" xfId="415"/>
    <cellStyle name="0% 2 3" xfId="416"/>
    <cellStyle name="0% 2 30" xfId="417"/>
    <cellStyle name="0% 2 31" xfId="418"/>
    <cellStyle name="0% 2 32" xfId="419"/>
    <cellStyle name="0% 2 33" xfId="420"/>
    <cellStyle name="0% 2 34" xfId="421"/>
    <cellStyle name="0% 2 35" xfId="422"/>
    <cellStyle name="0% 2 36" xfId="423"/>
    <cellStyle name="0% 2 37" xfId="424"/>
    <cellStyle name="0% 2 38" xfId="425"/>
    <cellStyle name="0% 2 39" xfId="426"/>
    <cellStyle name="0% 2 4" xfId="427"/>
    <cellStyle name="0% 2 40" xfId="428"/>
    <cellStyle name="0% 2 41" xfId="429"/>
    <cellStyle name="0% 2 42" xfId="430"/>
    <cellStyle name="0% 2 43" xfId="431"/>
    <cellStyle name="0% 2 44" xfId="432"/>
    <cellStyle name="0% 2 45" xfId="433"/>
    <cellStyle name="0% 2 46" xfId="434"/>
    <cellStyle name="0% 2 47" xfId="435"/>
    <cellStyle name="0% 2 48" xfId="436"/>
    <cellStyle name="0% 2 49" xfId="437"/>
    <cellStyle name="0% 2 5" xfId="438"/>
    <cellStyle name="0% 2 50" xfId="439"/>
    <cellStyle name="0% 2 51" xfId="440"/>
    <cellStyle name="0% 2 52" xfId="441"/>
    <cellStyle name="0% 2 53" xfId="442"/>
    <cellStyle name="0% 2 54" xfId="443"/>
    <cellStyle name="0% 2 55" xfId="444"/>
    <cellStyle name="0% 2 56" xfId="445"/>
    <cellStyle name="0% 2 57" xfId="446"/>
    <cellStyle name="0% 2 58" xfId="447"/>
    <cellStyle name="0% 2 59" xfId="448"/>
    <cellStyle name="0% 2 6" xfId="449"/>
    <cellStyle name="0% 2 60" xfId="450"/>
    <cellStyle name="0% 2 61" xfId="451"/>
    <cellStyle name="0% 2 62" xfId="452"/>
    <cellStyle name="0% 2 63" xfId="453"/>
    <cellStyle name="0% 2 64" xfId="454"/>
    <cellStyle name="0% 2 65" xfId="455"/>
    <cellStyle name="0% 2 66" xfId="456"/>
    <cellStyle name="0% 2 67" xfId="457"/>
    <cellStyle name="0% 2 68" xfId="458"/>
    <cellStyle name="0% 2 69" xfId="459"/>
    <cellStyle name="0% 2 7" xfId="460"/>
    <cellStyle name="0% 2 70" xfId="461"/>
    <cellStyle name="0% 2 8" xfId="462"/>
    <cellStyle name="0% 2 9" xfId="463"/>
    <cellStyle name="0% 20" xfId="464"/>
    <cellStyle name="0% 21" xfId="465"/>
    <cellStyle name="0% 22" xfId="466"/>
    <cellStyle name="0% 23" xfId="467"/>
    <cellStyle name="0% 24" xfId="468"/>
    <cellStyle name="0% 25" xfId="469"/>
    <cellStyle name="0% 26" xfId="470"/>
    <cellStyle name="0% 27" xfId="471"/>
    <cellStyle name="0% 28" xfId="472"/>
    <cellStyle name="0% 28 10" xfId="473"/>
    <cellStyle name="0% 28 11" xfId="474"/>
    <cellStyle name="0% 28 12" xfId="475"/>
    <cellStyle name="0% 28 13" xfId="476"/>
    <cellStyle name="0% 28 14" xfId="477"/>
    <cellStyle name="0% 28 15" xfId="478"/>
    <cellStyle name="0% 28 16" xfId="479"/>
    <cellStyle name="0% 28 2" xfId="480"/>
    <cellStyle name="0% 28 3" xfId="481"/>
    <cellStyle name="0% 28 4" xfId="482"/>
    <cellStyle name="0% 28 5" xfId="483"/>
    <cellStyle name="0% 28 6" xfId="484"/>
    <cellStyle name="0% 28 7" xfId="485"/>
    <cellStyle name="0% 28 8" xfId="486"/>
    <cellStyle name="0% 28 9" xfId="487"/>
    <cellStyle name="0% 29" xfId="488"/>
    <cellStyle name="0% 3" xfId="489"/>
    <cellStyle name="0% 3 10" xfId="490"/>
    <cellStyle name="0% 3 11" xfId="491"/>
    <cellStyle name="0% 3 12" xfId="492"/>
    <cellStyle name="0% 3 13" xfId="493"/>
    <cellStyle name="0% 3 14" xfId="494"/>
    <cellStyle name="0% 3 15" xfId="495"/>
    <cellStyle name="0% 3 16" xfId="496"/>
    <cellStyle name="0% 3 17" xfId="497"/>
    <cellStyle name="0% 3 18" xfId="498"/>
    <cellStyle name="0% 3 19" xfId="499"/>
    <cellStyle name="0% 3 2" xfId="500"/>
    <cellStyle name="0% 3 20" xfId="501"/>
    <cellStyle name="0% 3 21" xfId="502"/>
    <cellStyle name="0% 3 22" xfId="503"/>
    <cellStyle name="0% 3 23" xfId="504"/>
    <cellStyle name="0% 3 24" xfId="505"/>
    <cellStyle name="0% 3 25" xfId="506"/>
    <cellStyle name="0% 3 26" xfId="507"/>
    <cellStyle name="0% 3 27" xfId="508"/>
    <cellStyle name="0% 3 3" xfId="509"/>
    <cellStyle name="0% 3 4" xfId="510"/>
    <cellStyle name="0% 3 5" xfId="511"/>
    <cellStyle name="0% 3 6" xfId="512"/>
    <cellStyle name="0% 3 7" xfId="513"/>
    <cellStyle name="0% 3 8" xfId="514"/>
    <cellStyle name="0% 3 9" xfId="515"/>
    <cellStyle name="0% 30" xfId="516"/>
    <cellStyle name="0% 31" xfId="517"/>
    <cellStyle name="0% 32" xfId="518"/>
    <cellStyle name="0% 33" xfId="519"/>
    <cellStyle name="0% 34" xfId="520"/>
    <cellStyle name="0% 35" xfId="521"/>
    <cellStyle name="0% 36" xfId="522"/>
    <cellStyle name="0% 36 10" xfId="523"/>
    <cellStyle name="0% 36 11" xfId="524"/>
    <cellStyle name="0% 36 12" xfId="525"/>
    <cellStyle name="0% 36 13" xfId="526"/>
    <cellStyle name="0% 36 14" xfId="527"/>
    <cellStyle name="0% 36 15" xfId="528"/>
    <cellStyle name="0% 36 16" xfId="529"/>
    <cellStyle name="0% 36 2" xfId="530"/>
    <cellStyle name="0% 36 3" xfId="531"/>
    <cellStyle name="0% 36 4" xfId="532"/>
    <cellStyle name="0% 36 5" xfId="533"/>
    <cellStyle name="0% 36 6" xfId="534"/>
    <cellStyle name="0% 36 7" xfId="535"/>
    <cellStyle name="0% 36 8" xfId="536"/>
    <cellStyle name="0% 36 9" xfId="537"/>
    <cellStyle name="0% 37" xfId="538"/>
    <cellStyle name="0% 37 10" xfId="539"/>
    <cellStyle name="0% 37 11" xfId="540"/>
    <cellStyle name="0% 37 12" xfId="541"/>
    <cellStyle name="0% 37 13" xfId="542"/>
    <cellStyle name="0% 37 14" xfId="543"/>
    <cellStyle name="0% 37 15" xfId="544"/>
    <cellStyle name="0% 37 16" xfId="545"/>
    <cellStyle name="0% 37 2" xfId="546"/>
    <cellStyle name="0% 37 3" xfId="547"/>
    <cellStyle name="0% 37 4" xfId="548"/>
    <cellStyle name="0% 37 5" xfId="549"/>
    <cellStyle name="0% 37 6" xfId="550"/>
    <cellStyle name="0% 37 7" xfId="551"/>
    <cellStyle name="0% 37 8" xfId="552"/>
    <cellStyle name="0% 37 9" xfId="553"/>
    <cellStyle name="0% 38" xfId="554"/>
    <cellStyle name="0% 38 10" xfId="555"/>
    <cellStyle name="0% 38 11" xfId="556"/>
    <cellStyle name="0% 38 12" xfId="557"/>
    <cellStyle name="0% 38 13" xfId="558"/>
    <cellStyle name="0% 38 14" xfId="559"/>
    <cellStyle name="0% 38 15" xfId="560"/>
    <cellStyle name="0% 38 16" xfId="561"/>
    <cellStyle name="0% 38 2" xfId="562"/>
    <cellStyle name="0% 38 3" xfId="563"/>
    <cellStyle name="0% 38 4" xfId="564"/>
    <cellStyle name="0% 38 5" xfId="565"/>
    <cellStyle name="0% 38 6" xfId="566"/>
    <cellStyle name="0% 38 7" xfId="567"/>
    <cellStyle name="0% 38 8" xfId="568"/>
    <cellStyle name="0% 38 9" xfId="569"/>
    <cellStyle name="0% 39" xfId="570"/>
    <cellStyle name="0% 4" xfId="571"/>
    <cellStyle name="0% 4 10" xfId="572"/>
    <cellStyle name="0% 4 11" xfId="573"/>
    <cellStyle name="0% 4 12" xfId="574"/>
    <cellStyle name="0% 4 13" xfId="575"/>
    <cellStyle name="0% 4 14" xfId="576"/>
    <cellStyle name="0% 4 15" xfId="577"/>
    <cellStyle name="0% 4 16" xfId="578"/>
    <cellStyle name="0% 4 17" xfId="579"/>
    <cellStyle name="0% 4 18" xfId="580"/>
    <cellStyle name="0% 4 19" xfId="581"/>
    <cellStyle name="0% 4 2" xfId="582"/>
    <cellStyle name="0% 4 20" xfId="583"/>
    <cellStyle name="0% 4 21" xfId="584"/>
    <cellStyle name="0% 4 22" xfId="585"/>
    <cellStyle name="0% 4 23" xfId="586"/>
    <cellStyle name="0% 4 24" xfId="587"/>
    <cellStyle name="0% 4 25" xfId="588"/>
    <cellStyle name="0% 4 26" xfId="589"/>
    <cellStyle name="0% 4 27" xfId="590"/>
    <cellStyle name="0% 4 3" xfId="591"/>
    <cellStyle name="0% 4 4" xfId="592"/>
    <cellStyle name="0% 4 5" xfId="593"/>
    <cellStyle name="0% 4 6" xfId="594"/>
    <cellStyle name="0% 4 7" xfId="595"/>
    <cellStyle name="0% 4 8" xfId="596"/>
    <cellStyle name="0% 4 9" xfId="597"/>
    <cellStyle name="0% 40" xfId="598"/>
    <cellStyle name="0% 41" xfId="599"/>
    <cellStyle name="0% 42" xfId="600"/>
    <cellStyle name="0% 43" xfId="601"/>
    <cellStyle name="0% 44" xfId="602"/>
    <cellStyle name="0% 45" xfId="603"/>
    <cellStyle name="0% 46" xfId="604"/>
    <cellStyle name="0% 47" xfId="605"/>
    <cellStyle name="0% 48" xfId="606"/>
    <cellStyle name="0% 49" xfId="607"/>
    <cellStyle name="0% 5" xfId="608"/>
    <cellStyle name="0% 5 10" xfId="609"/>
    <cellStyle name="0% 5 11" xfId="610"/>
    <cellStyle name="0% 5 12" xfId="611"/>
    <cellStyle name="0% 5 13" xfId="612"/>
    <cellStyle name="0% 5 14" xfId="613"/>
    <cellStyle name="0% 5 15" xfId="614"/>
    <cellStyle name="0% 5 16" xfId="615"/>
    <cellStyle name="0% 5 17" xfId="616"/>
    <cellStyle name="0% 5 18" xfId="617"/>
    <cellStyle name="0% 5 19" xfId="618"/>
    <cellStyle name="0% 5 2" xfId="619"/>
    <cellStyle name="0% 5 20" xfId="620"/>
    <cellStyle name="0% 5 21" xfId="621"/>
    <cellStyle name="0% 5 22" xfId="622"/>
    <cellStyle name="0% 5 23" xfId="623"/>
    <cellStyle name="0% 5 24" xfId="624"/>
    <cellStyle name="0% 5 25" xfId="625"/>
    <cellStyle name="0% 5 26" xfId="626"/>
    <cellStyle name="0% 5 27" xfId="627"/>
    <cellStyle name="0% 5 3" xfId="628"/>
    <cellStyle name="0% 5 4" xfId="629"/>
    <cellStyle name="0% 5 5" xfId="630"/>
    <cellStyle name="0% 5 6" xfId="631"/>
    <cellStyle name="0% 5 7" xfId="632"/>
    <cellStyle name="0% 5 8" xfId="633"/>
    <cellStyle name="0% 5 9" xfId="634"/>
    <cellStyle name="0% 50" xfId="635"/>
    <cellStyle name="0% 51" xfId="636"/>
    <cellStyle name="0% 52" xfId="637"/>
    <cellStyle name="0% 53" xfId="638"/>
    <cellStyle name="0% 54" xfId="639"/>
    <cellStyle name="0% 55" xfId="640"/>
    <cellStyle name="0% 56" xfId="641"/>
    <cellStyle name="0% 57" xfId="642"/>
    <cellStyle name="0% 58" xfId="643"/>
    <cellStyle name="0% 58 10" xfId="644"/>
    <cellStyle name="0% 58 11" xfId="645"/>
    <cellStyle name="0% 58 12" xfId="646"/>
    <cellStyle name="0% 58 13" xfId="647"/>
    <cellStyle name="0% 58 14" xfId="648"/>
    <cellStyle name="0% 58 15" xfId="649"/>
    <cellStyle name="0% 58 16" xfId="650"/>
    <cellStyle name="0% 58 17" xfId="651"/>
    <cellStyle name="0% 58 18" xfId="652"/>
    <cellStyle name="0% 58 2" xfId="653"/>
    <cellStyle name="0% 58 3" xfId="654"/>
    <cellStyle name="0% 58 4" xfId="655"/>
    <cellStyle name="0% 58 5" xfId="656"/>
    <cellStyle name="0% 58 6" xfId="657"/>
    <cellStyle name="0% 58 7" xfId="658"/>
    <cellStyle name="0% 58 8" xfId="659"/>
    <cellStyle name="0% 58 9" xfId="660"/>
    <cellStyle name="0% 59" xfId="661"/>
    <cellStyle name="0% 6" xfId="662"/>
    <cellStyle name="0% 6 10" xfId="663"/>
    <cellStyle name="0% 6 11" xfId="664"/>
    <cellStyle name="0% 6 12" xfId="665"/>
    <cellStyle name="0% 6 13" xfId="666"/>
    <cellStyle name="0% 6 14" xfId="667"/>
    <cellStyle name="0% 6 15" xfId="668"/>
    <cellStyle name="0% 6 16" xfId="669"/>
    <cellStyle name="0% 6 17" xfId="670"/>
    <cellStyle name="0% 6 18" xfId="671"/>
    <cellStyle name="0% 6 19" xfId="672"/>
    <cellStyle name="0% 6 2" xfId="673"/>
    <cellStyle name="0% 6 20" xfId="674"/>
    <cellStyle name="0% 6 21" xfId="675"/>
    <cellStyle name="0% 6 22" xfId="676"/>
    <cellStyle name="0% 6 23" xfId="677"/>
    <cellStyle name="0% 6 24" xfId="678"/>
    <cellStyle name="0% 6 25" xfId="679"/>
    <cellStyle name="0% 6 26" xfId="680"/>
    <cellStyle name="0% 6 27" xfId="681"/>
    <cellStyle name="0% 6 3" xfId="682"/>
    <cellStyle name="0% 6 4" xfId="683"/>
    <cellStyle name="0% 6 5" xfId="684"/>
    <cellStyle name="0% 6 6" xfId="685"/>
    <cellStyle name="0% 6 7" xfId="686"/>
    <cellStyle name="0% 6 8" xfId="687"/>
    <cellStyle name="0% 6 9" xfId="688"/>
    <cellStyle name="0% 60" xfId="689"/>
    <cellStyle name="0% 61" xfId="690"/>
    <cellStyle name="0% 62" xfId="691"/>
    <cellStyle name="0% 63" xfId="692"/>
    <cellStyle name="0% 64" xfId="693"/>
    <cellStyle name="0% 65" xfId="694"/>
    <cellStyle name="0% 65 2" xfId="695"/>
    <cellStyle name="0% 65 3" xfId="696"/>
    <cellStyle name="0% 65 4" xfId="697"/>
    <cellStyle name="0% 65 5" xfId="698"/>
    <cellStyle name="0% 65 6" xfId="699"/>
    <cellStyle name="0% 65 7" xfId="700"/>
    <cellStyle name="0% 65 8" xfId="701"/>
    <cellStyle name="0% 66" xfId="702"/>
    <cellStyle name="0% 66 10" xfId="703"/>
    <cellStyle name="0% 66 11" xfId="704"/>
    <cellStyle name="0% 66 12" xfId="705"/>
    <cellStyle name="0% 66 13" xfId="706"/>
    <cellStyle name="0% 66 14" xfId="707"/>
    <cellStyle name="0% 66 15" xfId="708"/>
    <cellStyle name="0% 66 16" xfId="709"/>
    <cellStyle name="0% 66 2" xfId="710"/>
    <cellStyle name="0% 66 3" xfId="711"/>
    <cellStyle name="0% 66 4" xfId="712"/>
    <cellStyle name="0% 66 5" xfId="713"/>
    <cellStyle name="0% 66 6" xfId="714"/>
    <cellStyle name="0% 66 7" xfId="715"/>
    <cellStyle name="0% 66 8" xfId="716"/>
    <cellStyle name="0% 66 9" xfId="717"/>
    <cellStyle name="0% 67" xfId="718"/>
    <cellStyle name="0% 68" xfId="719"/>
    <cellStyle name="0% 69" xfId="720"/>
    <cellStyle name="0% 7" xfId="721"/>
    <cellStyle name="0% 7 10" xfId="722"/>
    <cellStyle name="0% 7 11" xfId="723"/>
    <cellStyle name="0% 7 12" xfId="724"/>
    <cellStyle name="0% 7 13" xfId="725"/>
    <cellStyle name="0% 7 14" xfId="726"/>
    <cellStyle name="0% 7 15" xfId="727"/>
    <cellStyle name="0% 7 16" xfId="728"/>
    <cellStyle name="0% 7 17" xfId="729"/>
    <cellStyle name="0% 7 18" xfId="730"/>
    <cellStyle name="0% 7 19" xfId="731"/>
    <cellStyle name="0% 7 2" xfId="732"/>
    <cellStyle name="0% 7 20" xfId="733"/>
    <cellStyle name="0% 7 21" xfId="734"/>
    <cellStyle name="0% 7 22" xfId="735"/>
    <cellStyle name="0% 7 23" xfId="736"/>
    <cellStyle name="0% 7 24" xfId="737"/>
    <cellStyle name="0% 7 25" xfId="738"/>
    <cellStyle name="0% 7 26" xfId="739"/>
    <cellStyle name="0% 7 27" xfId="740"/>
    <cellStyle name="0% 7 3" xfId="741"/>
    <cellStyle name="0% 7 4" xfId="742"/>
    <cellStyle name="0% 7 5" xfId="743"/>
    <cellStyle name="0% 7 6" xfId="744"/>
    <cellStyle name="0% 7 7" xfId="745"/>
    <cellStyle name="0% 7 8" xfId="746"/>
    <cellStyle name="0% 7 9" xfId="747"/>
    <cellStyle name="0% 70" xfId="748"/>
    <cellStyle name="0% 71" xfId="749"/>
    <cellStyle name="0% 72" xfId="750"/>
    <cellStyle name="0% 8" xfId="751"/>
    <cellStyle name="0% 8 10" xfId="752"/>
    <cellStyle name="0% 8 11" xfId="753"/>
    <cellStyle name="0% 8 12" xfId="754"/>
    <cellStyle name="0% 8 13" xfId="755"/>
    <cellStyle name="0% 8 14" xfId="756"/>
    <cellStyle name="0% 8 15" xfId="757"/>
    <cellStyle name="0% 8 16" xfId="758"/>
    <cellStyle name="0% 8 17" xfId="759"/>
    <cellStyle name="0% 8 18" xfId="760"/>
    <cellStyle name="0% 8 19" xfId="761"/>
    <cellStyle name="0% 8 2" xfId="762"/>
    <cellStyle name="0% 8 20" xfId="763"/>
    <cellStyle name="0% 8 21" xfId="764"/>
    <cellStyle name="0% 8 22" xfId="765"/>
    <cellStyle name="0% 8 23" xfId="766"/>
    <cellStyle name="0% 8 24" xfId="767"/>
    <cellStyle name="0% 8 25" xfId="768"/>
    <cellStyle name="0% 8 26" xfId="769"/>
    <cellStyle name="0% 8 27" xfId="770"/>
    <cellStyle name="0% 8 3" xfId="771"/>
    <cellStyle name="0% 8 4" xfId="772"/>
    <cellStyle name="0% 8 5" xfId="773"/>
    <cellStyle name="0% 8 6" xfId="774"/>
    <cellStyle name="0% 8 7" xfId="775"/>
    <cellStyle name="0% 8 8" xfId="776"/>
    <cellStyle name="0% 8 9" xfId="777"/>
    <cellStyle name="0% 9" xfId="778"/>
    <cellStyle name="0% 9 10" xfId="779"/>
    <cellStyle name="0% 9 11" xfId="780"/>
    <cellStyle name="0% 9 12" xfId="781"/>
    <cellStyle name="0% 9 13" xfId="782"/>
    <cellStyle name="0% 9 14" xfId="783"/>
    <cellStyle name="0% 9 15" xfId="784"/>
    <cellStyle name="0% 9 16" xfId="785"/>
    <cellStyle name="0% 9 17" xfId="786"/>
    <cellStyle name="0% 9 18" xfId="787"/>
    <cellStyle name="0% 9 19" xfId="788"/>
    <cellStyle name="0% 9 2" xfId="789"/>
    <cellStyle name="0% 9 20" xfId="790"/>
    <cellStyle name="0% 9 21" xfId="791"/>
    <cellStyle name="0% 9 22" xfId="792"/>
    <cellStyle name="0% 9 23" xfId="793"/>
    <cellStyle name="0% 9 24" xfId="794"/>
    <cellStyle name="0% 9 25" xfId="795"/>
    <cellStyle name="0% 9 26" xfId="796"/>
    <cellStyle name="0% 9 27" xfId="797"/>
    <cellStyle name="0% 9 3" xfId="798"/>
    <cellStyle name="0% 9 4" xfId="799"/>
    <cellStyle name="0% 9 5" xfId="800"/>
    <cellStyle name="0% 9 6" xfId="801"/>
    <cellStyle name="0% 9 7" xfId="802"/>
    <cellStyle name="0% 9 8" xfId="803"/>
    <cellStyle name="0% 9 9" xfId="804"/>
    <cellStyle name="0.0" xfId="805"/>
    <cellStyle name="0.0%" xfId="806"/>
    <cellStyle name="0.00" xfId="807"/>
    <cellStyle name="0.00%" xfId="808"/>
    <cellStyle name="20% - Акцент1 2" xfId="809"/>
    <cellStyle name="20% - Акцент1 3" xfId="810"/>
    <cellStyle name="20% - Акцент1 4" xfId="811"/>
    <cellStyle name="20% - Акцент1 5" xfId="812"/>
    <cellStyle name="20% - Акцент1 6" xfId="813"/>
    <cellStyle name="20% - Акцент1 7" xfId="814"/>
    <cellStyle name="20% - Акцент1 8" xfId="815"/>
    <cellStyle name="20% - Акцент1 9" xfId="816"/>
    <cellStyle name="20% - Акцент2 2" xfId="817"/>
    <cellStyle name="20% - Акцент2 3" xfId="818"/>
    <cellStyle name="20% - Акцент2 4" xfId="819"/>
    <cellStyle name="20% - Акцент2 5" xfId="820"/>
    <cellStyle name="20% - Акцент2 6" xfId="821"/>
    <cellStyle name="20% - Акцент2 7" xfId="822"/>
    <cellStyle name="20% - Акцент2 8" xfId="823"/>
    <cellStyle name="20% - Акцент2 9" xfId="824"/>
    <cellStyle name="20% - Акцент3 2" xfId="825"/>
    <cellStyle name="20% - Акцент3 3" xfId="826"/>
    <cellStyle name="20% - Акцент3 4" xfId="827"/>
    <cellStyle name="20% - Акцент3 5" xfId="828"/>
    <cellStyle name="20% - Акцент3 6" xfId="829"/>
    <cellStyle name="20% - Акцент3 7" xfId="830"/>
    <cellStyle name="20% - Акцент3 8" xfId="831"/>
    <cellStyle name="20% - Акцент3 9" xfId="832"/>
    <cellStyle name="20% - Акцент4 2" xfId="833"/>
    <cellStyle name="20% - Акцент4 3" xfId="834"/>
    <cellStyle name="20% - Акцент4 4" xfId="835"/>
    <cellStyle name="20% - Акцент4 5" xfId="836"/>
    <cellStyle name="20% - Акцент4 6" xfId="837"/>
    <cellStyle name="20% - Акцент4 7" xfId="838"/>
    <cellStyle name="20% - Акцент4 8" xfId="839"/>
    <cellStyle name="20% - Акцент4 9" xfId="840"/>
    <cellStyle name="20% - Акцент5 2" xfId="841"/>
    <cellStyle name="20% - Акцент5 3" xfId="842"/>
    <cellStyle name="20% - Акцент5 4" xfId="843"/>
    <cellStyle name="20% - Акцент5 5" xfId="844"/>
    <cellStyle name="20% - Акцент5 6" xfId="845"/>
    <cellStyle name="20% - Акцент5 7" xfId="846"/>
    <cellStyle name="20% - Акцент5 8" xfId="847"/>
    <cellStyle name="20% - Акцент5 9" xfId="848"/>
    <cellStyle name="20% - Акцент6 2" xfId="849"/>
    <cellStyle name="20% - Акцент6 3" xfId="850"/>
    <cellStyle name="20% - Акцент6 4" xfId="851"/>
    <cellStyle name="20% - Акцент6 5" xfId="852"/>
    <cellStyle name="20% - Акцент6 6" xfId="853"/>
    <cellStyle name="20% - Акцент6 7" xfId="854"/>
    <cellStyle name="20% - Акцент6 8" xfId="855"/>
    <cellStyle name="20% - Акцент6 9" xfId="856"/>
    <cellStyle name="40% - Акцент1 2" xfId="857"/>
    <cellStyle name="40% - Акцент1 3" xfId="858"/>
    <cellStyle name="40% - Акцент1 4" xfId="859"/>
    <cellStyle name="40% - Акцент1 5" xfId="860"/>
    <cellStyle name="40% - Акцент1 6" xfId="861"/>
    <cellStyle name="40% - Акцент1 7" xfId="862"/>
    <cellStyle name="40% - Акцент1 8" xfId="863"/>
    <cellStyle name="40% - Акцент1 9" xfId="864"/>
    <cellStyle name="40% - Акцент2 2" xfId="865"/>
    <cellStyle name="40% - Акцент2 3" xfId="866"/>
    <cellStyle name="40% - Акцент2 4" xfId="867"/>
    <cellStyle name="40% - Акцент2 5" xfId="868"/>
    <cellStyle name="40% - Акцент2 6" xfId="869"/>
    <cellStyle name="40% - Акцент2 7" xfId="870"/>
    <cellStyle name="40% - Акцент2 8" xfId="871"/>
    <cellStyle name="40% - Акцент2 9" xfId="872"/>
    <cellStyle name="40% - Акцент3 2" xfId="873"/>
    <cellStyle name="40% - Акцент3 3" xfId="874"/>
    <cellStyle name="40% - Акцент3 4" xfId="875"/>
    <cellStyle name="40% - Акцент3 5" xfId="876"/>
    <cellStyle name="40% - Акцент3 6" xfId="877"/>
    <cellStyle name="40% - Акцент3 7" xfId="878"/>
    <cellStyle name="40% - Акцент3 8" xfId="879"/>
    <cellStyle name="40% - Акцент3 9" xfId="880"/>
    <cellStyle name="40% - Акцент4 2" xfId="881"/>
    <cellStyle name="40% - Акцент4 3" xfId="882"/>
    <cellStyle name="40% - Акцент4 4" xfId="883"/>
    <cellStyle name="40% - Акцент4 5" xfId="884"/>
    <cellStyle name="40% - Акцент4 6" xfId="885"/>
    <cellStyle name="40% - Акцент4 7" xfId="886"/>
    <cellStyle name="40% - Акцент4 8" xfId="887"/>
    <cellStyle name="40% - Акцент4 9" xfId="888"/>
    <cellStyle name="40% - Акцент5 2" xfId="889"/>
    <cellStyle name="40% - Акцент5 3" xfId="890"/>
    <cellStyle name="40% - Акцент5 4" xfId="891"/>
    <cellStyle name="40% - Акцент5 5" xfId="892"/>
    <cellStyle name="40% - Акцент5 6" xfId="893"/>
    <cellStyle name="40% - Акцент5 7" xfId="894"/>
    <cellStyle name="40% - Акцент5 8" xfId="895"/>
    <cellStyle name="40% - Акцент5 9" xfId="896"/>
    <cellStyle name="40% - Акцент6 2" xfId="897"/>
    <cellStyle name="40% - Акцент6 3" xfId="898"/>
    <cellStyle name="40% - Акцент6 4" xfId="899"/>
    <cellStyle name="40% - Акцент6 5" xfId="900"/>
    <cellStyle name="40% - Акцент6 6" xfId="901"/>
    <cellStyle name="40% - Акцент6 7" xfId="902"/>
    <cellStyle name="40% - Акцент6 8" xfId="903"/>
    <cellStyle name="40% - Акцент6 9" xfId="904"/>
    <cellStyle name="60% - Акцент1 2" xfId="905"/>
    <cellStyle name="60% - Акцент1 3" xfId="906"/>
    <cellStyle name="60% - Акцент1 4" xfId="907"/>
    <cellStyle name="60% - Акцент1 5" xfId="908"/>
    <cellStyle name="60% - Акцент1 6" xfId="909"/>
    <cellStyle name="60% - Акцент1 7" xfId="910"/>
    <cellStyle name="60% - Акцент1 8" xfId="911"/>
    <cellStyle name="60% - Акцент1 9" xfId="912"/>
    <cellStyle name="60% - Акцент2 2" xfId="913"/>
    <cellStyle name="60% - Акцент2 3" xfId="914"/>
    <cellStyle name="60% - Акцент2 4" xfId="915"/>
    <cellStyle name="60% - Акцент2 5" xfId="916"/>
    <cellStyle name="60% - Акцент2 6" xfId="917"/>
    <cellStyle name="60% - Акцент2 7" xfId="918"/>
    <cellStyle name="60% - Акцент2 8" xfId="919"/>
    <cellStyle name="60% - Акцент2 9" xfId="920"/>
    <cellStyle name="60% - Акцент3 2" xfId="921"/>
    <cellStyle name="60% - Акцент3 3" xfId="922"/>
    <cellStyle name="60% - Акцент3 4" xfId="923"/>
    <cellStyle name="60% - Акцент3 5" xfId="924"/>
    <cellStyle name="60% - Акцент3 6" xfId="925"/>
    <cellStyle name="60% - Акцент3 7" xfId="926"/>
    <cellStyle name="60% - Акцент3 8" xfId="927"/>
    <cellStyle name="60% - Акцент3 9" xfId="928"/>
    <cellStyle name="60% - Акцент4 2" xfId="929"/>
    <cellStyle name="60% - Акцент4 3" xfId="930"/>
    <cellStyle name="60% - Акцент4 4" xfId="931"/>
    <cellStyle name="60% - Акцент4 5" xfId="932"/>
    <cellStyle name="60% - Акцент4 6" xfId="933"/>
    <cellStyle name="60% - Акцент4 7" xfId="934"/>
    <cellStyle name="60% - Акцент4 8" xfId="935"/>
    <cellStyle name="60% - Акцент4 9" xfId="936"/>
    <cellStyle name="60% - Акцент5 2" xfId="937"/>
    <cellStyle name="60% - Акцент5 3" xfId="938"/>
    <cellStyle name="60% - Акцент5 4" xfId="939"/>
    <cellStyle name="60% - Акцент5 5" xfId="940"/>
    <cellStyle name="60% - Акцент5 6" xfId="941"/>
    <cellStyle name="60% - Акцент5 7" xfId="942"/>
    <cellStyle name="60% - Акцент5 8" xfId="943"/>
    <cellStyle name="60% - Акцент5 9" xfId="944"/>
    <cellStyle name="60% - Акцент6 2" xfId="945"/>
    <cellStyle name="60% - Акцент6 3" xfId="946"/>
    <cellStyle name="60% - Акцент6 4" xfId="947"/>
    <cellStyle name="60% - Акцент6 5" xfId="948"/>
    <cellStyle name="60% - Акцент6 6" xfId="949"/>
    <cellStyle name="60% - Акцент6 7" xfId="950"/>
    <cellStyle name="60% - Акцент6 8" xfId="951"/>
    <cellStyle name="60% - Акцент6 9" xfId="952"/>
    <cellStyle name="752131" xfId="953"/>
    <cellStyle name="Across" xfId="954"/>
    <cellStyle name="AFE" xfId="17"/>
    <cellStyle name="AFE 2" xfId="955"/>
    <cellStyle name="AFE 3" xfId="956"/>
    <cellStyle name="AFE 4" xfId="957"/>
    <cellStyle name="AFE 5" xfId="958"/>
    <cellStyle name="AFE 6" xfId="959"/>
    <cellStyle name="AFE 7" xfId="960"/>
    <cellStyle name="AFE 8" xfId="961"/>
    <cellStyle name="AFE 9" xfId="962"/>
    <cellStyle name="Arial6Bold" xfId="963"/>
    <cellStyle name="Arial8Bold" xfId="964"/>
    <cellStyle name="Arial8Italic" xfId="965"/>
    <cellStyle name="ArialNormal" xfId="966"/>
    <cellStyle name="AZ acc" xfId="967"/>
    <cellStyle name="Blue" xfId="968"/>
    <cellStyle name="Bottom" xfId="969"/>
    <cellStyle name="Center" xfId="970"/>
    <cellStyle name="Changeable" xfId="971"/>
    <cellStyle name="Comma 2" xfId="32"/>
    <cellStyle name="Comma 2 10" xfId="972"/>
    <cellStyle name="Comma 2 11" xfId="973"/>
    <cellStyle name="Comma 2 12" xfId="974"/>
    <cellStyle name="Comma 2 13" xfId="975"/>
    <cellStyle name="Comma 2 14" xfId="976"/>
    <cellStyle name="Comma 2 15" xfId="977"/>
    <cellStyle name="Comma 2 16" xfId="978"/>
    <cellStyle name="Comma 2 17" xfId="979"/>
    <cellStyle name="Comma 2 18" xfId="980"/>
    <cellStyle name="Comma 2 19" xfId="981"/>
    <cellStyle name="Comma 2 2" xfId="982"/>
    <cellStyle name="Comma 2 2 2 2" xfId="983"/>
    <cellStyle name="Comma 2 20" xfId="984"/>
    <cellStyle name="Comma 2 3" xfId="985"/>
    <cellStyle name="Comma 2 4" xfId="986"/>
    <cellStyle name="Comma 2 5" xfId="987"/>
    <cellStyle name="Comma 2 6" xfId="988"/>
    <cellStyle name="Comma 2 7" xfId="989"/>
    <cellStyle name="Comma 2 8" xfId="990"/>
    <cellStyle name="Comma 2 9" xfId="991"/>
    <cellStyle name="Comma_NLMK" xfId="2"/>
    <cellStyle name="Currency [2]" xfId="992"/>
    <cellStyle name="Currency [2] 2" xfId="993"/>
    <cellStyle name="Date" xfId="994"/>
    <cellStyle name="Date2" xfId="995"/>
    <cellStyle name="Dollars" xfId="996"/>
    <cellStyle name="Double" xfId="997"/>
    <cellStyle name="Dziesiętny [0]_SA_RS" xfId="18"/>
    <cellStyle name="Dziesiętny_SA_RS" xfId="19"/>
    <cellStyle name="Euro" xfId="20"/>
    <cellStyle name="fourdecplace" xfId="998"/>
    <cellStyle name="Header1" xfId="999"/>
    <cellStyle name="Header2" xfId="1000"/>
    <cellStyle name="LEVERS69" xfId="1001"/>
    <cellStyle name="MAND_x000d_CHECK.COMMAND_x000e_RENAME.COMMAND_x0008_SHOW.BAR_x000b_DELETE.MENU_x000e_DELETE.COMMAND_x000e_GET.CHA" xfId="21"/>
    <cellStyle name="Multiple" xfId="1002"/>
    <cellStyle name="Multiples [1]" xfId="22"/>
    <cellStyle name="Multiples [2]" xfId="23"/>
    <cellStyle name="Normal 10" xfId="1003"/>
    <cellStyle name="Normal 11 2" xfId="1004"/>
    <cellStyle name="Normal 2" xfId="4"/>
    <cellStyle name="Normal 2 10" xfId="1005"/>
    <cellStyle name="Normal 2 10 10" xfId="1006"/>
    <cellStyle name="Normal 2 10 11" xfId="1007"/>
    <cellStyle name="Normal 2 10 12" xfId="1008"/>
    <cellStyle name="Normal 2 10 13" xfId="1009"/>
    <cellStyle name="Normal 2 10 14" xfId="1010"/>
    <cellStyle name="Normal 2 10 15" xfId="1011"/>
    <cellStyle name="Normal 2 10 16" xfId="1012"/>
    <cellStyle name="Normal 2 10 17" xfId="1013"/>
    <cellStyle name="Normal 2 10 18" xfId="1014"/>
    <cellStyle name="Normal 2 10 2" xfId="1015"/>
    <cellStyle name="Normal 2 10 3" xfId="1016"/>
    <cellStyle name="Normal 2 10 4" xfId="1017"/>
    <cellStyle name="Normal 2 10 5" xfId="1018"/>
    <cellStyle name="Normal 2 10 6" xfId="1019"/>
    <cellStyle name="Normal 2 10 7" xfId="1020"/>
    <cellStyle name="Normal 2 10 8" xfId="1021"/>
    <cellStyle name="Normal 2 10 9" xfId="1022"/>
    <cellStyle name="Normal 2 11" xfId="1023"/>
    <cellStyle name="Normal 2 11 10" xfId="1024"/>
    <cellStyle name="Normal 2 11 11" xfId="1025"/>
    <cellStyle name="Normal 2 11 12" xfId="1026"/>
    <cellStyle name="Normal 2 11 13" xfId="1027"/>
    <cellStyle name="Normal 2 11 14" xfId="1028"/>
    <cellStyle name="Normal 2 11 15" xfId="1029"/>
    <cellStyle name="Normal 2 11 16" xfId="1030"/>
    <cellStyle name="Normal 2 11 17" xfId="1031"/>
    <cellStyle name="Normal 2 11 18" xfId="1032"/>
    <cellStyle name="Normal 2 11 2" xfId="1033"/>
    <cellStyle name="Normal 2 11 3" xfId="1034"/>
    <cellStyle name="Normal 2 11 4" xfId="1035"/>
    <cellStyle name="Normal 2 11 5" xfId="1036"/>
    <cellStyle name="Normal 2 11 6" xfId="1037"/>
    <cellStyle name="Normal 2 11 7" xfId="1038"/>
    <cellStyle name="Normal 2 11 8" xfId="1039"/>
    <cellStyle name="Normal 2 11 9" xfId="1040"/>
    <cellStyle name="Normal 2 12" xfId="1041"/>
    <cellStyle name="Normal 2 13" xfId="1042"/>
    <cellStyle name="Normal 2 14" xfId="1043"/>
    <cellStyle name="Normal 2 15" xfId="1044"/>
    <cellStyle name="Normal 2 16" xfId="1045"/>
    <cellStyle name="Normal 2 17" xfId="1046"/>
    <cellStyle name="Normal 2 18" xfId="1047"/>
    <cellStyle name="Normal 2 19" xfId="1048"/>
    <cellStyle name="Normal 2 2" xfId="1049"/>
    <cellStyle name="Normal 2 2 10" xfId="1050"/>
    <cellStyle name="Normal 2 2 11" xfId="1051"/>
    <cellStyle name="Normal 2 2 12" xfId="1052"/>
    <cellStyle name="Normal 2 2 13" xfId="1053"/>
    <cellStyle name="Normal 2 2 14" xfId="1054"/>
    <cellStyle name="Normal 2 2 15" xfId="1055"/>
    <cellStyle name="Normal 2 2 16" xfId="1056"/>
    <cellStyle name="Normal 2 2 17" xfId="1057"/>
    <cellStyle name="Normal 2 2 18" xfId="1058"/>
    <cellStyle name="Normal 2 2 19" xfId="1059"/>
    <cellStyle name="Normal 2 2 2" xfId="1060"/>
    <cellStyle name="Normal 2 2 20" xfId="1061"/>
    <cellStyle name="Normal 2 2 21" xfId="1062"/>
    <cellStyle name="Normal 2 2 22" xfId="1063"/>
    <cellStyle name="Normal 2 2 23" xfId="1064"/>
    <cellStyle name="Normal 2 2 24" xfId="1065"/>
    <cellStyle name="Normal 2 2 25" xfId="1066"/>
    <cellStyle name="Normal 2 2 26" xfId="1067"/>
    <cellStyle name="Normal 2 2 27" xfId="1068"/>
    <cellStyle name="Normal 2 2 28" xfId="1069"/>
    <cellStyle name="Normal 2 2 29" xfId="1070"/>
    <cellStyle name="Normal 2 2 3" xfId="1071"/>
    <cellStyle name="Normal 2 2 30" xfId="1072"/>
    <cellStyle name="Normal 2 2 31" xfId="1073"/>
    <cellStyle name="Normal 2 2 32" xfId="1074"/>
    <cellStyle name="Normal 2 2 33" xfId="1075"/>
    <cellStyle name="Normal 2 2 34" xfId="1076"/>
    <cellStyle name="Normal 2 2 35" xfId="1077"/>
    <cellStyle name="Normal 2 2 36" xfId="1078"/>
    <cellStyle name="Normal 2 2 37" xfId="1079"/>
    <cellStyle name="Normal 2 2 38" xfId="1080"/>
    <cellStyle name="Normal 2 2 39" xfId="1081"/>
    <cellStyle name="Normal 2 2 4" xfId="1082"/>
    <cellStyle name="Normal 2 2 40" xfId="1083"/>
    <cellStyle name="Normal 2 2 5" xfId="1084"/>
    <cellStyle name="Normal 2 2 6" xfId="1085"/>
    <cellStyle name="Normal 2 2 7" xfId="1086"/>
    <cellStyle name="Normal 2 2 8" xfId="1087"/>
    <cellStyle name="Normal 2 2 9" xfId="1088"/>
    <cellStyle name="Normal 2 20" xfId="1089"/>
    <cellStyle name="Normal 2 21" xfId="1090"/>
    <cellStyle name="Normal 2 22" xfId="1091"/>
    <cellStyle name="Normal 2 23" xfId="1092"/>
    <cellStyle name="Normal 2 24" xfId="1093"/>
    <cellStyle name="Normal 2 25" xfId="1094"/>
    <cellStyle name="Normal 2 26" xfId="1095"/>
    <cellStyle name="Normal 2 27" xfId="1096"/>
    <cellStyle name="Normal 2 28" xfId="1097"/>
    <cellStyle name="Normal 2 29" xfId="1098"/>
    <cellStyle name="Normal 2 3" xfId="1099"/>
    <cellStyle name="Normal 2 3 10" xfId="1100"/>
    <cellStyle name="Normal 2 3 11" xfId="1101"/>
    <cellStyle name="Normal 2 3 12" xfId="1102"/>
    <cellStyle name="Normal 2 3 13" xfId="1103"/>
    <cellStyle name="Normal 2 3 14" xfId="1104"/>
    <cellStyle name="Normal 2 3 15" xfId="1105"/>
    <cellStyle name="Normal 2 3 16" xfId="1106"/>
    <cellStyle name="Normal 2 3 17" xfId="1107"/>
    <cellStyle name="Normal 2 3 18" xfId="1108"/>
    <cellStyle name="Normal 2 3 2" xfId="1109"/>
    <cellStyle name="Normal 2 3 3" xfId="1110"/>
    <cellStyle name="Normal 2 3 4" xfId="1111"/>
    <cellStyle name="Normal 2 3 5" xfId="1112"/>
    <cellStyle name="Normal 2 3 6" xfId="1113"/>
    <cellStyle name="Normal 2 3 7" xfId="1114"/>
    <cellStyle name="Normal 2 3 8" xfId="1115"/>
    <cellStyle name="Normal 2 3 9" xfId="1116"/>
    <cellStyle name="Normal 2 30" xfId="1117"/>
    <cellStyle name="Normal 2 31" xfId="1118"/>
    <cellStyle name="Normal 2 32" xfId="1119"/>
    <cellStyle name="Normal 2 33" xfId="1120"/>
    <cellStyle name="Normal 2 34" xfId="1121"/>
    <cellStyle name="Normal 2 35" xfId="1122"/>
    <cellStyle name="Normal 2 36" xfId="1123"/>
    <cellStyle name="Normal 2 37" xfId="1124"/>
    <cellStyle name="Normal 2 38" xfId="1125"/>
    <cellStyle name="Normal 2 39" xfId="1126"/>
    <cellStyle name="Normal 2 4" xfId="1127"/>
    <cellStyle name="Normal 2 4 10" xfId="1128"/>
    <cellStyle name="Normal 2 4 11" xfId="1129"/>
    <cellStyle name="Normal 2 4 12" xfId="1130"/>
    <cellStyle name="Normal 2 4 13" xfId="1131"/>
    <cellStyle name="Normal 2 4 14" xfId="1132"/>
    <cellStyle name="Normal 2 4 15" xfId="1133"/>
    <cellStyle name="Normal 2 4 16" xfId="1134"/>
    <cellStyle name="Normal 2 4 17" xfId="1135"/>
    <cellStyle name="Normal 2 4 18" xfId="1136"/>
    <cellStyle name="Normal 2 4 2" xfId="1137"/>
    <cellStyle name="Normal 2 4 3" xfId="1138"/>
    <cellStyle name="Normal 2 4 4" xfId="1139"/>
    <cellStyle name="Normal 2 4 5" xfId="1140"/>
    <cellStyle name="Normal 2 4 6" xfId="1141"/>
    <cellStyle name="Normal 2 4 7" xfId="1142"/>
    <cellStyle name="Normal 2 4 8" xfId="1143"/>
    <cellStyle name="Normal 2 4 9" xfId="1144"/>
    <cellStyle name="Normal 2 40" xfId="1145"/>
    <cellStyle name="Normal 2 41" xfId="1146"/>
    <cellStyle name="Normal 2 42" xfId="1147"/>
    <cellStyle name="Normal 2 43" xfId="1148"/>
    <cellStyle name="Normal 2 44" xfId="1149"/>
    <cellStyle name="Normal 2 45" xfId="1150"/>
    <cellStyle name="Normal 2 46" xfId="1151"/>
    <cellStyle name="Normal 2 47" xfId="1152"/>
    <cellStyle name="Normal 2 48" xfId="1153"/>
    <cellStyle name="Normal 2 49" xfId="7946"/>
    <cellStyle name="Normal 2 5" xfId="1154"/>
    <cellStyle name="Normal 2 5 10" xfId="1155"/>
    <cellStyle name="Normal 2 5 11" xfId="1156"/>
    <cellStyle name="Normal 2 5 12" xfId="1157"/>
    <cellStyle name="Normal 2 5 13" xfId="1158"/>
    <cellStyle name="Normal 2 5 14" xfId="1159"/>
    <cellStyle name="Normal 2 5 15" xfId="1160"/>
    <cellStyle name="Normal 2 5 16" xfId="1161"/>
    <cellStyle name="Normal 2 5 17" xfId="1162"/>
    <cellStyle name="Normal 2 5 18" xfId="1163"/>
    <cellStyle name="Normal 2 5 2" xfId="1164"/>
    <cellStyle name="Normal 2 5 3" xfId="1165"/>
    <cellStyle name="Normal 2 5 4" xfId="1166"/>
    <cellStyle name="Normal 2 5 5" xfId="1167"/>
    <cellStyle name="Normal 2 5 6" xfId="1168"/>
    <cellStyle name="Normal 2 5 7" xfId="1169"/>
    <cellStyle name="Normal 2 5 8" xfId="1170"/>
    <cellStyle name="Normal 2 5 9" xfId="1171"/>
    <cellStyle name="Normal 2 6" xfId="1172"/>
    <cellStyle name="Normal 2 6 10" xfId="1173"/>
    <cellStyle name="Normal 2 6 11" xfId="1174"/>
    <cellStyle name="Normal 2 6 12" xfId="1175"/>
    <cellStyle name="Normal 2 6 13" xfId="1176"/>
    <cellStyle name="Normal 2 6 14" xfId="1177"/>
    <cellStyle name="Normal 2 6 15" xfId="1178"/>
    <cellStyle name="Normal 2 6 16" xfId="1179"/>
    <cellStyle name="Normal 2 6 17" xfId="1180"/>
    <cellStyle name="Normal 2 6 18" xfId="1181"/>
    <cellStyle name="Normal 2 6 2" xfId="1182"/>
    <cellStyle name="Normal 2 6 3" xfId="1183"/>
    <cellStyle name="Normal 2 6 4" xfId="1184"/>
    <cellStyle name="Normal 2 6 5" xfId="1185"/>
    <cellStyle name="Normal 2 6 6" xfId="1186"/>
    <cellStyle name="Normal 2 6 7" xfId="1187"/>
    <cellStyle name="Normal 2 6 8" xfId="1188"/>
    <cellStyle name="Normal 2 6 9" xfId="1189"/>
    <cellStyle name="Normal 2 7" xfId="1190"/>
    <cellStyle name="Normal 2 7 10" xfId="1191"/>
    <cellStyle name="Normal 2 7 11" xfId="1192"/>
    <cellStyle name="Normal 2 7 12" xfId="1193"/>
    <cellStyle name="Normal 2 7 13" xfId="1194"/>
    <cellStyle name="Normal 2 7 14" xfId="1195"/>
    <cellStyle name="Normal 2 7 15" xfId="1196"/>
    <cellStyle name="Normal 2 7 16" xfId="1197"/>
    <cellStyle name="Normal 2 7 17" xfId="1198"/>
    <cellStyle name="Normal 2 7 18" xfId="1199"/>
    <cellStyle name="Normal 2 7 2" xfId="1200"/>
    <cellStyle name="Normal 2 7 3" xfId="1201"/>
    <cellStyle name="Normal 2 7 4" xfId="1202"/>
    <cellStyle name="Normal 2 7 5" xfId="1203"/>
    <cellStyle name="Normal 2 7 6" xfId="1204"/>
    <cellStyle name="Normal 2 7 7" xfId="1205"/>
    <cellStyle name="Normal 2 7 8" xfId="1206"/>
    <cellStyle name="Normal 2 7 9" xfId="1207"/>
    <cellStyle name="Normal 2 8" xfId="1208"/>
    <cellStyle name="Normal 2 8 10" xfId="1209"/>
    <cellStyle name="Normal 2 8 11" xfId="1210"/>
    <cellStyle name="Normal 2 8 12" xfId="1211"/>
    <cellStyle name="Normal 2 8 13" xfId="1212"/>
    <cellStyle name="Normal 2 8 14" xfId="1213"/>
    <cellStyle name="Normal 2 8 15" xfId="1214"/>
    <cellStyle name="Normal 2 8 16" xfId="1215"/>
    <cellStyle name="Normal 2 8 17" xfId="1216"/>
    <cellStyle name="Normal 2 8 18" xfId="1217"/>
    <cellStyle name="Normal 2 8 2" xfId="1218"/>
    <cellStyle name="Normal 2 8 3" xfId="1219"/>
    <cellStyle name="Normal 2 8 4" xfId="1220"/>
    <cellStyle name="Normal 2 8 5" xfId="1221"/>
    <cellStyle name="Normal 2 8 6" xfId="1222"/>
    <cellStyle name="Normal 2 8 7" xfId="1223"/>
    <cellStyle name="Normal 2 8 8" xfId="1224"/>
    <cellStyle name="Normal 2 8 9" xfId="1225"/>
    <cellStyle name="Normal 2 9" xfId="1226"/>
    <cellStyle name="Normal 2 9 10" xfId="1227"/>
    <cellStyle name="Normal 2 9 11" xfId="1228"/>
    <cellStyle name="Normal 2 9 12" xfId="1229"/>
    <cellStyle name="Normal 2 9 13" xfId="1230"/>
    <cellStyle name="Normal 2 9 14" xfId="1231"/>
    <cellStyle name="Normal 2 9 15" xfId="1232"/>
    <cellStyle name="Normal 2 9 16" xfId="1233"/>
    <cellStyle name="Normal 2 9 17" xfId="1234"/>
    <cellStyle name="Normal 2 9 18" xfId="1235"/>
    <cellStyle name="Normal 2 9 2" xfId="1236"/>
    <cellStyle name="Normal 2 9 3" xfId="1237"/>
    <cellStyle name="Normal 2 9 4" xfId="1238"/>
    <cellStyle name="Normal 2 9 5" xfId="1239"/>
    <cellStyle name="Normal 2 9 6" xfId="1240"/>
    <cellStyle name="Normal 2 9 7" xfId="1241"/>
    <cellStyle name="Normal 2 9 8" xfId="1242"/>
    <cellStyle name="Normal 2 9 9" xfId="1243"/>
    <cellStyle name="Normal 3" xfId="1244"/>
    <cellStyle name="Normal 4" xfId="1245"/>
    <cellStyle name="Normal 5" xfId="1246"/>
    <cellStyle name="Normal 6" xfId="1247"/>
    <cellStyle name="Normal 7" xfId="1248"/>
    <cellStyle name="Normal 8" xfId="1249"/>
    <cellStyle name="Normal 9" xfId="1250"/>
    <cellStyle name="Normal_36.6 &amp; Veropharm model" xfId="1251"/>
    <cellStyle name="Normal_Model2008DCF_Factset1" xfId="6"/>
    <cellStyle name="Normal_NLMK" xfId="8"/>
    <cellStyle name="Normal_NLMK 2" xfId="7948"/>
    <cellStyle name="Normalny_KPW" xfId="24"/>
    <cellStyle name="Numbers" xfId="1252"/>
    <cellStyle name="Numbers - Bold - Italic" xfId="1253"/>
    <cellStyle name="Œ…‹æØ‚è [0.00]_GE 3 MINIMUM" xfId="1254"/>
    <cellStyle name="Œ…‹æØ‚è_GE 3 MINIMUM" xfId="1255"/>
    <cellStyle name="outh America" xfId="1256"/>
    <cellStyle name="Outline" xfId="1257"/>
    <cellStyle name="Percent 13" xfId="1258"/>
    <cellStyle name="Percent 2" xfId="1259"/>
    <cellStyle name="Percent 3" xfId="1260"/>
    <cellStyle name="Single decimal" xfId="25"/>
    <cellStyle name="Style 1" xfId="26"/>
    <cellStyle name="Style 1 10" xfId="1261"/>
    <cellStyle name="Style 1 11" xfId="1262"/>
    <cellStyle name="Style 1 12" xfId="1263"/>
    <cellStyle name="Style 1 13" xfId="1264"/>
    <cellStyle name="Style 1 14" xfId="1265"/>
    <cellStyle name="Style 1 15" xfId="1266"/>
    <cellStyle name="Style 1 16" xfId="1267"/>
    <cellStyle name="Style 1 17" xfId="1268"/>
    <cellStyle name="Style 1 18" xfId="1269"/>
    <cellStyle name="Style 1 19" xfId="1270"/>
    <cellStyle name="Style 1 2" xfId="1271"/>
    <cellStyle name="Style 1 20" xfId="1272"/>
    <cellStyle name="Style 1 21" xfId="1273"/>
    <cellStyle name="Style 1 22" xfId="1274"/>
    <cellStyle name="Style 1 23" xfId="1275"/>
    <cellStyle name="Style 1 24" xfId="1276"/>
    <cellStyle name="Style 1 25" xfId="1277"/>
    <cellStyle name="Style 1 26" xfId="1278"/>
    <cellStyle name="Style 1 27" xfId="1279"/>
    <cellStyle name="Style 1 28" xfId="1280"/>
    <cellStyle name="Style 1 29" xfId="1281"/>
    <cellStyle name="Style 1 3" xfId="1282"/>
    <cellStyle name="Style 1 30" xfId="1283"/>
    <cellStyle name="Style 1 31" xfId="1284"/>
    <cellStyle name="Style 1 32" xfId="1285"/>
    <cellStyle name="Style 1 33" xfId="1286"/>
    <cellStyle name="Style 1 4" xfId="1287"/>
    <cellStyle name="Style 1 5" xfId="1288"/>
    <cellStyle name="Style 1 6" xfId="1289"/>
    <cellStyle name="Style 1 7" xfId="1290"/>
    <cellStyle name="Style 1 8" xfId="1291"/>
    <cellStyle name="Style 1 9" xfId="1292"/>
    <cellStyle name="SymbolBlue" xfId="1293"/>
    <cellStyle name="threedecplace" xfId="1294"/>
    <cellStyle name="twodecplace" xfId="1295"/>
    <cellStyle name="Upload Only" xfId="1296"/>
    <cellStyle name="Walutowy [0]_SA_RS" xfId="27"/>
    <cellStyle name="Walutowy_SA_RS" xfId="28"/>
    <cellStyle name="White" xfId="1297"/>
    <cellStyle name="WingdingsBlack" xfId="1298"/>
    <cellStyle name="WingdingsRed" xfId="1299"/>
    <cellStyle name="WingdingsWhite" xfId="1300"/>
    <cellStyle name="Акцент1 2" xfId="1301"/>
    <cellStyle name="Акцент1 3" xfId="1302"/>
    <cellStyle name="Акцент1 4" xfId="1303"/>
    <cellStyle name="Акцент1 5" xfId="1304"/>
    <cellStyle name="Акцент1 6" xfId="1305"/>
    <cellStyle name="Акцент1 7" xfId="1306"/>
    <cellStyle name="Акцент1 8" xfId="1307"/>
    <cellStyle name="Акцент1 9" xfId="1308"/>
    <cellStyle name="Акцент2 2" xfId="1309"/>
    <cellStyle name="Акцент2 3" xfId="1310"/>
    <cellStyle name="Акцент2 4" xfId="1311"/>
    <cellStyle name="Акцент2 5" xfId="1312"/>
    <cellStyle name="Акцент2 6" xfId="1313"/>
    <cellStyle name="Акцент2 7" xfId="1314"/>
    <cellStyle name="Акцент2 8" xfId="1315"/>
    <cellStyle name="Акцент2 9" xfId="1316"/>
    <cellStyle name="Акцент3 2" xfId="1317"/>
    <cellStyle name="Акцент3 3" xfId="1318"/>
    <cellStyle name="Акцент3 4" xfId="1319"/>
    <cellStyle name="Акцент3 5" xfId="1320"/>
    <cellStyle name="Акцент3 6" xfId="1321"/>
    <cellStyle name="Акцент3 7" xfId="1322"/>
    <cellStyle name="Акцент3 8" xfId="1323"/>
    <cellStyle name="Акцент3 9" xfId="1324"/>
    <cellStyle name="Акцент4 2" xfId="1325"/>
    <cellStyle name="Акцент4 3" xfId="1326"/>
    <cellStyle name="Акцент4 4" xfId="1327"/>
    <cellStyle name="Акцент4 5" xfId="1328"/>
    <cellStyle name="Акцент4 6" xfId="1329"/>
    <cellStyle name="Акцент4 7" xfId="1330"/>
    <cellStyle name="Акцент4 8" xfId="1331"/>
    <cellStyle name="Акцент4 9" xfId="1332"/>
    <cellStyle name="Акцент5 2" xfId="1333"/>
    <cellStyle name="Акцент5 3" xfId="1334"/>
    <cellStyle name="Акцент5 4" xfId="1335"/>
    <cellStyle name="Акцент5 5" xfId="1336"/>
    <cellStyle name="Акцент5 6" xfId="1337"/>
    <cellStyle name="Акцент5 7" xfId="1338"/>
    <cellStyle name="Акцент5 8" xfId="1339"/>
    <cellStyle name="Акцент5 9" xfId="1340"/>
    <cellStyle name="Акцент6 2" xfId="1341"/>
    <cellStyle name="Акцент6 3" xfId="1342"/>
    <cellStyle name="Акцент6 4" xfId="1343"/>
    <cellStyle name="Акцент6 5" xfId="1344"/>
    <cellStyle name="Акцент6 6" xfId="1345"/>
    <cellStyle name="Акцент6 7" xfId="1346"/>
    <cellStyle name="Акцент6 8" xfId="1347"/>
    <cellStyle name="Акцент6 9" xfId="1348"/>
    <cellStyle name="Ввод  2" xfId="1349"/>
    <cellStyle name="Ввод  3" xfId="1350"/>
    <cellStyle name="Ввод  4" xfId="1351"/>
    <cellStyle name="Ввод  5" xfId="1352"/>
    <cellStyle name="Ввод  6" xfId="1353"/>
    <cellStyle name="Ввод  7" xfId="1354"/>
    <cellStyle name="Ввод  8" xfId="1355"/>
    <cellStyle name="Ввод  9" xfId="1356"/>
    <cellStyle name="Вывод 2" xfId="1357"/>
    <cellStyle name="Вывод 3" xfId="1358"/>
    <cellStyle name="Вывод 4" xfId="1359"/>
    <cellStyle name="Вывод 5" xfId="1360"/>
    <cellStyle name="Вывод 6" xfId="1361"/>
    <cellStyle name="Вывод 7" xfId="1362"/>
    <cellStyle name="Вывод 8" xfId="1363"/>
    <cellStyle name="Вывод 9" xfId="1364"/>
    <cellStyle name="Вычисление 2" xfId="1365"/>
    <cellStyle name="Вычисление 3" xfId="1366"/>
    <cellStyle name="Вычисление 4" xfId="1367"/>
    <cellStyle name="Вычисление 5" xfId="1368"/>
    <cellStyle name="Вычисление 6" xfId="1369"/>
    <cellStyle name="Вычисление 7" xfId="1370"/>
    <cellStyle name="Вычисление 8" xfId="1371"/>
    <cellStyle name="Вычисление 9" xfId="1372"/>
    <cellStyle name="Гиперссылка 2" xfId="33"/>
    <cellStyle name="Гиперссылка 3" xfId="7950"/>
    <cellStyle name="Заголовок 1 2" xfId="1373"/>
    <cellStyle name="Заголовок 1 3" xfId="1374"/>
    <cellStyle name="Заголовок 1 4" xfId="1375"/>
    <cellStyle name="Заголовок 1 5" xfId="1376"/>
    <cellStyle name="Заголовок 1 6" xfId="1377"/>
    <cellStyle name="Заголовок 1 7" xfId="1378"/>
    <cellStyle name="Заголовок 1 8" xfId="1379"/>
    <cellStyle name="Заголовок 1 9" xfId="1380"/>
    <cellStyle name="Заголовок 2 2" xfId="1381"/>
    <cellStyle name="Заголовок 2 3" xfId="1382"/>
    <cellStyle name="Заголовок 2 4" xfId="1383"/>
    <cellStyle name="Заголовок 2 5" xfId="1384"/>
    <cellStyle name="Заголовок 2 6" xfId="1385"/>
    <cellStyle name="Заголовок 2 7" xfId="1386"/>
    <cellStyle name="Заголовок 2 8" xfId="1387"/>
    <cellStyle name="Заголовок 2 9" xfId="1388"/>
    <cellStyle name="Заголовок 3 2" xfId="1389"/>
    <cellStyle name="Заголовок 3 3" xfId="1390"/>
    <cellStyle name="Заголовок 3 4" xfId="1391"/>
    <cellStyle name="Заголовок 3 5" xfId="1392"/>
    <cellStyle name="Заголовок 3 6" xfId="1393"/>
    <cellStyle name="Заголовок 3 7" xfId="1394"/>
    <cellStyle name="Заголовок 3 8" xfId="1395"/>
    <cellStyle name="Заголовок 3 9" xfId="1396"/>
    <cellStyle name="Заголовок 4 2" xfId="1397"/>
    <cellStyle name="Заголовок 4 3" xfId="1398"/>
    <cellStyle name="Заголовок 4 4" xfId="1399"/>
    <cellStyle name="Заголовок 4 5" xfId="1400"/>
    <cellStyle name="Заголовок 4 6" xfId="1401"/>
    <cellStyle name="Заголовок 4 7" xfId="1402"/>
    <cellStyle name="Заголовок 4 8" xfId="1403"/>
    <cellStyle name="Заголовок 4 9" xfId="1404"/>
    <cellStyle name="Итог 2" xfId="1405"/>
    <cellStyle name="Итог 3" xfId="1406"/>
    <cellStyle name="Итог 4" xfId="1407"/>
    <cellStyle name="Итог 5" xfId="1408"/>
    <cellStyle name="Итог 6" xfId="1409"/>
    <cellStyle name="Итог 7" xfId="1410"/>
    <cellStyle name="Итог 8" xfId="1411"/>
    <cellStyle name="Итог 9" xfId="1412"/>
    <cellStyle name="Контрольная ячейка 2" xfId="1413"/>
    <cellStyle name="Контрольная ячейка 3" xfId="1414"/>
    <cellStyle name="Контрольная ячейка 4" xfId="1415"/>
    <cellStyle name="Контрольная ячейка 5" xfId="1416"/>
    <cellStyle name="Контрольная ячейка 6" xfId="1417"/>
    <cellStyle name="Контрольная ячейка 7" xfId="1418"/>
    <cellStyle name="Контрольная ячейка 8" xfId="1419"/>
    <cellStyle name="Контрольная ячейка 9" xfId="1420"/>
    <cellStyle name="Название 2" xfId="1421"/>
    <cellStyle name="Название 3" xfId="1422"/>
    <cellStyle name="Название 4" xfId="1423"/>
    <cellStyle name="Название 5" xfId="1424"/>
    <cellStyle name="Название 6" xfId="1425"/>
    <cellStyle name="Название 7" xfId="1426"/>
    <cellStyle name="Название 8" xfId="1427"/>
    <cellStyle name="Название 9" xfId="1428"/>
    <cellStyle name="Нейтральный 2" xfId="1429"/>
    <cellStyle name="Нейтральный 3" xfId="1430"/>
    <cellStyle name="Нейтральный 4" xfId="1431"/>
    <cellStyle name="Нейтральный 5" xfId="1432"/>
    <cellStyle name="Нейтральный 6" xfId="1433"/>
    <cellStyle name="Нейтральный 7" xfId="1434"/>
    <cellStyle name="Нейтральный 8" xfId="1435"/>
    <cellStyle name="Нейтральный 9" xfId="1436"/>
    <cellStyle name="Обычный" xfId="0" builtinId="0"/>
    <cellStyle name="Обычный 10" xfId="1437"/>
    <cellStyle name="Обычный 10 10" xfId="1438"/>
    <cellStyle name="Обычный 10 11" xfId="1439"/>
    <cellStyle name="Обычный 10 12" xfId="1440"/>
    <cellStyle name="Обычный 10 13" xfId="1441"/>
    <cellStyle name="Обычный 10 14" xfId="1442"/>
    <cellStyle name="Обычный 10 15" xfId="1443"/>
    <cellStyle name="Обычный 10 16" xfId="1444"/>
    <cellStyle name="Обычный 10 17" xfId="1445"/>
    <cellStyle name="Обычный 10 18" xfId="1446"/>
    <cellStyle name="Обычный 10 19" xfId="1447"/>
    <cellStyle name="Обычный 10 2" xfId="1448"/>
    <cellStyle name="Обычный 10 20" xfId="1449"/>
    <cellStyle name="Обычный 10 21" xfId="1450"/>
    <cellStyle name="Обычный 10 22" xfId="1451"/>
    <cellStyle name="Обычный 10 23" xfId="1452"/>
    <cellStyle name="Обычный 10 24" xfId="1453"/>
    <cellStyle name="Обычный 10 25" xfId="1454"/>
    <cellStyle name="Обычный 10 26" xfId="1455"/>
    <cellStyle name="Обычный 10 27" xfId="1456"/>
    <cellStyle name="Обычный 10 28" xfId="1457"/>
    <cellStyle name="Обычный 10 29" xfId="1458"/>
    <cellStyle name="Обычный 10 3" xfId="1459"/>
    <cellStyle name="Обычный 10 30" xfId="1460"/>
    <cellStyle name="Обычный 10 31" xfId="1461"/>
    <cellStyle name="Обычный 10 32" xfId="1462"/>
    <cellStyle name="Обычный 10 33" xfId="1463"/>
    <cellStyle name="Обычный 10 34" xfId="1464"/>
    <cellStyle name="Обычный 10 35" xfId="1465"/>
    <cellStyle name="Обычный 10 36" xfId="1466"/>
    <cellStyle name="Обычный 10 37" xfId="1467"/>
    <cellStyle name="Обычный 10 38" xfId="1468"/>
    <cellStyle name="Обычный 10 39" xfId="1469"/>
    <cellStyle name="Обычный 10 4" xfId="1470"/>
    <cellStyle name="Обычный 10 40" xfId="1471"/>
    <cellStyle name="Обычный 10 41" xfId="1472"/>
    <cellStyle name="Обычный 10 42" xfId="1473"/>
    <cellStyle name="Обычный 10 43" xfId="1474"/>
    <cellStyle name="Обычный 10 44" xfId="1475"/>
    <cellStyle name="Обычный 10 45" xfId="1476"/>
    <cellStyle name="Обычный 10 46" xfId="1477"/>
    <cellStyle name="Обычный 10 47" xfId="1478"/>
    <cellStyle name="Обычный 10 48" xfId="1479"/>
    <cellStyle name="Обычный 10 49" xfId="1480"/>
    <cellStyle name="Обычный 10 5" xfId="1481"/>
    <cellStyle name="Обычный 10 50" xfId="1482"/>
    <cellStyle name="Обычный 10 51" xfId="1483"/>
    <cellStyle name="Обычный 10 52" xfId="1484"/>
    <cellStyle name="Обычный 10 53" xfId="1485"/>
    <cellStyle name="Обычный 10 54" xfId="1486"/>
    <cellStyle name="Обычный 10 55" xfId="1487"/>
    <cellStyle name="Обычный 10 56" xfId="1488"/>
    <cellStyle name="Обычный 10 57" xfId="1489"/>
    <cellStyle name="Обычный 10 58" xfId="1490"/>
    <cellStyle name="Обычный 10 59" xfId="1491"/>
    <cellStyle name="Обычный 10 6" xfId="1492"/>
    <cellStyle name="Обычный 10 60" xfId="1493"/>
    <cellStyle name="Обычный 10 61" xfId="1494"/>
    <cellStyle name="Обычный 10 62" xfId="1495"/>
    <cellStyle name="Обычный 10 63" xfId="1496"/>
    <cellStyle name="Обычный 10 64" xfId="1497"/>
    <cellStyle name="Обычный 10 65" xfId="1498"/>
    <cellStyle name="Обычный 10 66" xfId="1499"/>
    <cellStyle name="Обычный 10 67" xfId="1500"/>
    <cellStyle name="Обычный 10 68" xfId="1501"/>
    <cellStyle name="Обычный 10 69" xfId="1502"/>
    <cellStyle name="Обычный 10 7" xfId="1503"/>
    <cellStyle name="Обычный 10 70" xfId="1504"/>
    <cellStyle name="Обычный 10 71" xfId="1505"/>
    <cellStyle name="Обычный 10 72" xfId="1506"/>
    <cellStyle name="Обычный 10 73" xfId="1507"/>
    <cellStyle name="Обычный 10 74" xfId="1508"/>
    <cellStyle name="Обычный 10 8" xfId="1509"/>
    <cellStyle name="Обычный 10 9" xfId="1510"/>
    <cellStyle name="Обычный 11" xfId="1511"/>
    <cellStyle name="Обычный 11 10" xfId="1512"/>
    <cellStyle name="Обычный 11 11" xfId="1513"/>
    <cellStyle name="Обычный 11 12" xfId="1514"/>
    <cellStyle name="Обычный 11 13" xfId="1515"/>
    <cellStyle name="Обычный 11 14" xfId="1516"/>
    <cellStyle name="Обычный 11 15" xfId="1517"/>
    <cellStyle name="Обычный 11 16" xfId="1518"/>
    <cellStyle name="Обычный 11 17" xfId="1519"/>
    <cellStyle name="Обычный 11 18" xfId="1520"/>
    <cellStyle name="Обычный 11 19" xfId="1521"/>
    <cellStyle name="Обычный 11 2" xfId="1522"/>
    <cellStyle name="Обычный 11 20" xfId="1523"/>
    <cellStyle name="Обычный 11 21" xfId="1524"/>
    <cellStyle name="Обычный 11 22" xfId="1525"/>
    <cellStyle name="Обычный 11 23" xfId="1526"/>
    <cellStyle name="Обычный 11 24" xfId="1527"/>
    <cellStyle name="Обычный 11 25" xfId="1528"/>
    <cellStyle name="Обычный 11 26" xfId="1529"/>
    <cellStyle name="Обычный 11 27" xfId="1530"/>
    <cellStyle name="Обычный 11 28" xfId="1531"/>
    <cellStyle name="Обычный 11 29" xfId="1532"/>
    <cellStyle name="Обычный 11 3" xfId="1533"/>
    <cellStyle name="Обычный 11 30" xfId="1534"/>
    <cellStyle name="Обычный 11 31" xfId="1535"/>
    <cellStyle name="Обычный 11 32" xfId="1536"/>
    <cellStyle name="Обычный 11 33" xfId="1537"/>
    <cellStyle name="Обычный 11 34" xfId="1538"/>
    <cellStyle name="Обычный 11 35" xfId="1539"/>
    <cellStyle name="Обычный 11 36" xfId="1540"/>
    <cellStyle name="Обычный 11 37" xfId="1541"/>
    <cellStyle name="Обычный 11 38" xfId="1542"/>
    <cellStyle name="Обычный 11 39" xfId="1543"/>
    <cellStyle name="Обычный 11 4" xfId="1544"/>
    <cellStyle name="Обычный 11 40" xfId="1545"/>
    <cellStyle name="Обычный 11 41" xfId="1546"/>
    <cellStyle name="Обычный 11 42" xfId="1547"/>
    <cellStyle name="Обычный 11 43" xfId="1548"/>
    <cellStyle name="Обычный 11 44" xfId="1549"/>
    <cellStyle name="Обычный 11 45" xfId="1550"/>
    <cellStyle name="Обычный 11 46" xfId="1551"/>
    <cellStyle name="Обычный 11 47" xfId="1552"/>
    <cellStyle name="Обычный 11 48" xfId="1553"/>
    <cellStyle name="Обычный 11 49" xfId="1554"/>
    <cellStyle name="Обычный 11 5" xfId="1555"/>
    <cellStyle name="Обычный 11 50" xfId="1556"/>
    <cellStyle name="Обычный 11 51" xfId="1557"/>
    <cellStyle name="Обычный 11 52" xfId="1558"/>
    <cellStyle name="Обычный 11 53" xfId="1559"/>
    <cellStyle name="Обычный 11 54" xfId="1560"/>
    <cellStyle name="Обычный 11 55" xfId="1561"/>
    <cellStyle name="Обычный 11 56" xfId="1562"/>
    <cellStyle name="Обычный 11 57" xfId="1563"/>
    <cellStyle name="Обычный 11 58" xfId="1564"/>
    <cellStyle name="Обычный 11 59" xfId="1565"/>
    <cellStyle name="Обычный 11 6" xfId="1566"/>
    <cellStyle name="Обычный 11 60" xfId="1567"/>
    <cellStyle name="Обычный 11 61" xfId="1568"/>
    <cellStyle name="Обычный 11 62" xfId="1569"/>
    <cellStyle name="Обычный 11 63" xfId="1570"/>
    <cellStyle name="Обычный 11 64" xfId="1571"/>
    <cellStyle name="Обычный 11 65" xfId="1572"/>
    <cellStyle name="Обычный 11 66" xfId="1573"/>
    <cellStyle name="Обычный 11 67" xfId="1574"/>
    <cellStyle name="Обычный 11 68" xfId="1575"/>
    <cellStyle name="Обычный 11 69" xfId="1576"/>
    <cellStyle name="Обычный 11 7" xfId="1577"/>
    <cellStyle name="Обычный 11 70" xfId="1578"/>
    <cellStyle name="Обычный 11 71" xfId="1579"/>
    <cellStyle name="Обычный 11 72" xfId="1580"/>
    <cellStyle name="Обычный 11 73" xfId="1581"/>
    <cellStyle name="Обычный 11 74" xfId="1582"/>
    <cellStyle name="Обычный 11 8" xfId="1583"/>
    <cellStyle name="Обычный 11 9" xfId="1584"/>
    <cellStyle name="Обычный 12" xfId="1585"/>
    <cellStyle name="Обычный 12 10" xfId="1586"/>
    <cellStyle name="Обычный 12 11" xfId="1587"/>
    <cellStyle name="Обычный 12 12" xfId="1588"/>
    <cellStyle name="Обычный 12 13" xfId="1589"/>
    <cellStyle name="Обычный 12 14" xfId="1590"/>
    <cellStyle name="Обычный 12 15" xfId="1591"/>
    <cellStyle name="Обычный 12 16" xfId="1592"/>
    <cellStyle name="Обычный 12 2" xfId="1593"/>
    <cellStyle name="Обычный 12 3" xfId="1594"/>
    <cellStyle name="Обычный 12 4" xfId="1595"/>
    <cellStyle name="Обычный 12 5" xfId="1596"/>
    <cellStyle name="Обычный 12 6" xfId="1597"/>
    <cellStyle name="Обычный 12 7" xfId="1598"/>
    <cellStyle name="Обычный 12 8" xfId="1599"/>
    <cellStyle name="Обычный 12 9" xfId="1600"/>
    <cellStyle name="Обычный 13" xfId="1601"/>
    <cellStyle name="Обычный 13 10" xfId="1602"/>
    <cellStyle name="Обычный 13 11" xfId="1603"/>
    <cellStyle name="Обычный 13 12" xfId="1604"/>
    <cellStyle name="Обычный 13 13" xfId="1605"/>
    <cellStyle name="Обычный 13 14" xfId="1606"/>
    <cellStyle name="Обычный 13 15" xfId="1607"/>
    <cellStyle name="Обычный 13 16" xfId="1608"/>
    <cellStyle name="Обычный 13 2" xfId="1609"/>
    <cellStyle name="Обычный 13 3" xfId="1610"/>
    <cellStyle name="Обычный 13 4" xfId="1611"/>
    <cellStyle name="Обычный 13 5" xfId="1612"/>
    <cellStyle name="Обычный 13 6" xfId="1613"/>
    <cellStyle name="Обычный 13 7" xfId="1614"/>
    <cellStyle name="Обычный 13 8" xfId="1615"/>
    <cellStyle name="Обычный 13 9" xfId="1616"/>
    <cellStyle name="Обычный 14" xfId="1617"/>
    <cellStyle name="Обычный 14 10" xfId="1618"/>
    <cellStyle name="Обычный 14 11" xfId="1619"/>
    <cellStyle name="Обычный 14 12" xfId="1620"/>
    <cellStyle name="Обычный 14 13" xfId="1621"/>
    <cellStyle name="Обычный 14 14" xfId="1622"/>
    <cellStyle name="Обычный 14 15" xfId="1623"/>
    <cellStyle name="Обычный 14 16" xfId="1624"/>
    <cellStyle name="Обычный 14 2" xfId="1625"/>
    <cellStyle name="Обычный 14 3" xfId="1626"/>
    <cellStyle name="Обычный 14 4" xfId="1627"/>
    <cellStyle name="Обычный 14 5" xfId="1628"/>
    <cellStyle name="Обычный 14 6" xfId="1629"/>
    <cellStyle name="Обычный 14 7" xfId="1630"/>
    <cellStyle name="Обычный 14 8" xfId="1631"/>
    <cellStyle name="Обычный 14 9" xfId="1632"/>
    <cellStyle name="Обычный 15" xfId="1633"/>
    <cellStyle name="Обычный 15 10" xfId="1634"/>
    <cellStyle name="Обычный 15 11" xfId="1635"/>
    <cellStyle name="Обычный 15 12" xfId="1636"/>
    <cellStyle name="Обычный 15 13" xfId="1637"/>
    <cellStyle name="Обычный 15 14" xfId="1638"/>
    <cellStyle name="Обычный 15 15" xfId="1639"/>
    <cellStyle name="Обычный 15 16" xfId="1640"/>
    <cellStyle name="Обычный 15 2" xfId="1641"/>
    <cellStyle name="Обычный 15 3" xfId="1642"/>
    <cellStyle name="Обычный 15 4" xfId="1643"/>
    <cellStyle name="Обычный 15 5" xfId="1644"/>
    <cellStyle name="Обычный 15 6" xfId="1645"/>
    <cellStyle name="Обычный 15 7" xfId="1646"/>
    <cellStyle name="Обычный 15 8" xfId="1647"/>
    <cellStyle name="Обычный 15 9" xfId="1648"/>
    <cellStyle name="Обычный 16" xfId="1649"/>
    <cellStyle name="Обычный 17" xfId="1650"/>
    <cellStyle name="Обычный 17 10" xfId="1651"/>
    <cellStyle name="Обычный 17 11" xfId="1652"/>
    <cellStyle name="Обычный 17 12" xfId="1653"/>
    <cellStyle name="Обычный 17 13" xfId="1654"/>
    <cellStyle name="Обычный 17 14" xfId="1655"/>
    <cellStyle name="Обычный 17 15" xfId="1656"/>
    <cellStyle name="Обычный 17 16" xfId="1657"/>
    <cellStyle name="Обычный 17 2" xfId="1658"/>
    <cellStyle name="Обычный 17 3" xfId="1659"/>
    <cellStyle name="Обычный 17 4" xfId="1660"/>
    <cellStyle name="Обычный 17 5" xfId="1661"/>
    <cellStyle name="Обычный 17 6" xfId="1662"/>
    <cellStyle name="Обычный 17 7" xfId="1663"/>
    <cellStyle name="Обычный 17 8" xfId="1664"/>
    <cellStyle name="Обычный 17 9" xfId="1665"/>
    <cellStyle name="Обычный 18" xfId="1666"/>
    <cellStyle name="Обычный 18 10" xfId="1667"/>
    <cellStyle name="Обычный 18 11" xfId="1668"/>
    <cellStyle name="Обычный 18 12" xfId="1669"/>
    <cellStyle name="Обычный 18 13" xfId="1670"/>
    <cellStyle name="Обычный 18 14" xfId="1671"/>
    <cellStyle name="Обычный 18 15" xfId="1672"/>
    <cellStyle name="Обычный 18 16" xfId="1673"/>
    <cellStyle name="Обычный 18 2" xfId="1674"/>
    <cellStyle name="Обычный 18 3" xfId="1675"/>
    <cellStyle name="Обычный 18 4" xfId="1676"/>
    <cellStyle name="Обычный 18 5" xfId="1677"/>
    <cellStyle name="Обычный 18 6" xfId="1678"/>
    <cellStyle name="Обычный 18 7" xfId="1679"/>
    <cellStyle name="Обычный 18 8" xfId="1680"/>
    <cellStyle name="Обычный 18 9" xfId="1681"/>
    <cellStyle name="Обычный 19" xfId="1682"/>
    <cellStyle name="Обычный 19 10" xfId="1683"/>
    <cellStyle name="Обычный 19 11" xfId="1684"/>
    <cellStyle name="Обычный 19 12" xfId="1685"/>
    <cellStyle name="Обычный 19 13" xfId="1686"/>
    <cellStyle name="Обычный 19 14" xfId="1687"/>
    <cellStyle name="Обычный 19 15" xfId="1688"/>
    <cellStyle name="Обычный 19 16" xfId="1689"/>
    <cellStyle name="Обычный 19 2" xfId="1690"/>
    <cellStyle name="Обычный 19 3" xfId="1691"/>
    <cellStyle name="Обычный 19 4" xfId="1692"/>
    <cellStyle name="Обычный 19 5" xfId="1693"/>
    <cellStyle name="Обычный 19 6" xfId="1694"/>
    <cellStyle name="Обычный 19 7" xfId="1695"/>
    <cellStyle name="Обычный 19 8" xfId="1696"/>
    <cellStyle name="Обычный 19 9" xfId="1697"/>
    <cellStyle name="Обычный 2" xfId="1698"/>
    <cellStyle name="Обычный 2 10" xfId="1699"/>
    <cellStyle name="Обычный 2 10 10" xfId="1700"/>
    <cellStyle name="Обычный 2 10 11" xfId="1701"/>
    <cellStyle name="Обычный 2 10 12" xfId="1702"/>
    <cellStyle name="Обычный 2 10 13" xfId="1703"/>
    <cellStyle name="Обычный 2 10 14" xfId="1704"/>
    <cellStyle name="Обычный 2 10 15" xfId="1705"/>
    <cellStyle name="Обычный 2 10 16" xfId="1706"/>
    <cellStyle name="Обычный 2 10 17" xfId="1707"/>
    <cellStyle name="Обычный 2 10 18" xfId="1708"/>
    <cellStyle name="Обычный 2 10 2" xfId="1709"/>
    <cellStyle name="Обычный 2 10 3" xfId="1710"/>
    <cellStyle name="Обычный 2 10 4" xfId="1711"/>
    <cellStyle name="Обычный 2 10 5" xfId="1712"/>
    <cellStyle name="Обычный 2 10 6" xfId="1713"/>
    <cellStyle name="Обычный 2 10 7" xfId="1714"/>
    <cellStyle name="Обычный 2 10 8" xfId="1715"/>
    <cellStyle name="Обычный 2 10 9" xfId="1716"/>
    <cellStyle name="Обычный 2 11" xfId="1717"/>
    <cellStyle name="Обычный 2 11 10" xfId="1718"/>
    <cellStyle name="Обычный 2 11 11" xfId="1719"/>
    <cellStyle name="Обычный 2 11 12" xfId="1720"/>
    <cellStyle name="Обычный 2 11 13" xfId="1721"/>
    <cellStyle name="Обычный 2 11 14" xfId="1722"/>
    <cellStyle name="Обычный 2 11 15" xfId="1723"/>
    <cellStyle name="Обычный 2 11 16" xfId="1724"/>
    <cellStyle name="Обычный 2 11 17" xfId="1725"/>
    <cellStyle name="Обычный 2 11 18" xfId="1726"/>
    <cellStyle name="Обычный 2 11 2" xfId="1727"/>
    <cellStyle name="Обычный 2 11 3" xfId="1728"/>
    <cellStyle name="Обычный 2 11 4" xfId="1729"/>
    <cellStyle name="Обычный 2 11 5" xfId="1730"/>
    <cellStyle name="Обычный 2 11 6" xfId="1731"/>
    <cellStyle name="Обычный 2 11 7" xfId="1732"/>
    <cellStyle name="Обычный 2 11 8" xfId="1733"/>
    <cellStyle name="Обычный 2 11 9" xfId="1734"/>
    <cellStyle name="Обычный 2 12" xfId="1735"/>
    <cellStyle name="Обычный 2 13" xfId="1736"/>
    <cellStyle name="Обычный 2 14" xfId="1737"/>
    <cellStyle name="Обычный 2 15" xfId="1738"/>
    <cellStyle name="Обычный 2 16" xfId="1739"/>
    <cellStyle name="Обычный 2 17" xfId="1740"/>
    <cellStyle name="Обычный 2 18" xfId="1741"/>
    <cellStyle name="Обычный 2 19" xfId="1742"/>
    <cellStyle name="Обычный 2 2" xfId="5"/>
    <cellStyle name="Обычный 2 20" xfId="1743"/>
    <cellStyle name="Обычный 2 21" xfId="1744"/>
    <cellStyle name="Обычный 2 22" xfId="1745"/>
    <cellStyle name="Обычный 2 23" xfId="1746"/>
    <cellStyle name="Обычный 2 24" xfId="1747"/>
    <cellStyle name="Обычный 2 25" xfId="1748"/>
    <cellStyle name="Обычный 2 26" xfId="1749"/>
    <cellStyle name="Обычный 2 27" xfId="1750"/>
    <cellStyle name="Обычный 2 28" xfId="1751"/>
    <cellStyle name="Обычный 2 29" xfId="1752"/>
    <cellStyle name="Обычный 2 3" xfId="1753"/>
    <cellStyle name="Обычный 2 30" xfId="1754"/>
    <cellStyle name="Обычный 2 31" xfId="1755"/>
    <cellStyle name="Обычный 2 4" xfId="1756"/>
    <cellStyle name="Обычный 2 5" xfId="1757"/>
    <cellStyle name="Обычный 2 6" xfId="1758"/>
    <cellStyle name="Обычный 2 6 10" xfId="1759"/>
    <cellStyle name="Обычный 2 6 11" xfId="1760"/>
    <cellStyle name="Обычный 2 6 12" xfId="1761"/>
    <cellStyle name="Обычный 2 6 13" xfId="1762"/>
    <cellStyle name="Обычный 2 6 14" xfId="1763"/>
    <cellStyle name="Обычный 2 6 15" xfId="1764"/>
    <cellStyle name="Обычный 2 6 16" xfId="1765"/>
    <cellStyle name="Обычный 2 6 17" xfId="1766"/>
    <cellStyle name="Обычный 2 6 18" xfId="1767"/>
    <cellStyle name="Обычный 2 6 2" xfId="1768"/>
    <cellStyle name="Обычный 2 6 3" xfId="1769"/>
    <cellStyle name="Обычный 2 6 4" xfId="1770"/>
    <cellStyle name="Обычный 2 6 5" xfId="1771"/>
    <cellStyle name="Обычный 2 6 6" xfId="1772"/>
    <cellStyle name="Обычный 2 6 7" xfId="1773"/>
    <cellStyle name="Обычный 2 6 8" xfId="1774"/>
    <cellStyle name="Обычный 2 6 9" xfId="1775"/>
    <cellStyle name="Обычный 2 7" xfId="1776"/>
    <cellStyle name="Обычный 2 7 10" xfId="1777"/>
    <cellStyle name="Обычный 2 7 11" xfId="1778"/>
    <cellStyle name="Обычный 2 7 12" xfId="1779"/>
    <cellStyle name="Обычный 2 7 13" xfId="1780"/>
    <cellStyle name="Обычный 2 7 14" xfId="1781"/>
    <cellStyle name="Обычный 2 7 15" xfId="1782"/>
    <cellStyle name="Обычный 2 7 16" xfId="1783"/>
    <cellStyle name="Обычный 2 7 17" xfId="1784"/>
    <cellStyle name="Обычный 2 7 18" xfId="1785"/>
    <cellStyle name="Обычный 2 7 2" xfId="1786"/>
    <cellStyle name="Обычный 2 7 3" xfId="1787"/>
    <cellStyle name="Обычный 2 7 4" xfId="1788"/>
    <cellStyle name="Обычный 2 7 5" xfId="1789"/>
    <cellStyle name="Обычный 2 7 6" xfId="1790"/>
    <cellStyle name="Обычный 2 7 7" xfId="1791"/>
    <cellStyle name="Обычный 2 7 8" xfId="1792"/>
    <cellStyle name="Обычный 2 7 9" xfId="1793"/>
    <cellStyle name="Обычный 2 8" xfId="1794"/>
    <cellStyle name="Обычный 2 8 10" xfId="1795"/>
    <cellStyle name="Обычный 2 8 11" xfId="1796"/>
    <cellStyle name="Обычный 2 8 12" xfId="1797"/>
    <cellStyle name="Обычный 2 8 13" xfId="1798"/>
    <cellStyle name="Обычный 2 8 14" xfId="1799"/>
    <cellStyle name="Обычный 2 8 15" xfId="1800"/>
    <cellStyle name="Обычный 2 8 16" xfId="1801"/>
    <cellStyle name="Обычный 2 8 17" xfId="1802"/>
    <cellStyle name="Обычный 2 8 18" xfId="1803"/>
    <cellStyle name="Обычный 2 8 2" xfId="1804"/>
    <cellStyle name="Обычный 2 8 3" xfId="1805"/>
    <cellStyle name="Обычный 2 8 4" xfId="1806"/>
    <cellStyle name="Обычный 2 8 5" xfId="1807"/>
    <cellStyle name="Обычный 2 8 6" xfId="1808"/>
    <cellStyle name="Обычный 2 8 7" xfId="1809"/>
    <cellStyle name="Обычный 2 8 8" xfId="1810"/>
    <cellStyle name="Обычный 2 8 9" xfId="1811"/>
    <cellStyle name="Обычный 2 9" xfId="1812"/>
    <cellStyle name="Обычный 2 9 10" xfId="1813"/>
    <cellStyle name="Обычный 2 9 11" xfId="1814"/>
    <cellStyle name="Обычный 2 9 12" xfId="1815"/>
    <cellStyle name="Обычный 2 9 13" xfId="1816"/>
    <cellStyle name="Обычный 2 9 14" xfId="1817"/>
    <cellStyle name="Обычный 2 9 15" xfId="1818"/>
    <cellStyle name="Обычный 2 9 16" xfId="1819"/>
    <cellStyle name="Обычный 2 9 17" xfId="1820"/>
    <cellStyle name="Обычный 2 9 18" xfId="1821"/>
    <cellStyle name="Обычный 2 9 2" xfId="1822"/>
    <cellStyle name="Обычный 2 9 3" xfId="1823"/>
    <cellStyle name="Обычный 2 9 4" xfId="1824"/>
    <cellStyle name="Обычный 2 9 5" xfId="1825"/>
    <cellStyle name="Обычный 2 9 6" xfId="1826"/>
    <cellStyle name="Обычный 2 9 7" xfId="1827"/>
    <cellStyle name="Обычный 2 9 8" xfId="1828"/>
    <cellStyle name="Обычный 2 9 9" xfId="1829"/>
    <cellStyle name="Обычный 20" xfId="1830"/>
    <cellStyle name="Обычный 20 10" xfId="1831"/>
    <cellStyle name="Обычный 20 11" xfId="1832"/>
    <cellStyle name="Обычный 20 12" xfId="1833"/>
    <cellStyle name="Обычный 20 13" xfId="1834"/>
    <cellStyle name="Обычный 20 14" xfId="1835"/>
    <cellStyle name="Обычный 20 15" xfId="1836"/>
    <cellStyle name="Обычный 20 16" xfId="1837"/>
    <cellStyle name="Обычный 20 2" xfId="1838"/>
    <cellStyle name="Обычный 20 3" xfId="1839"/>
    <cellStyle name="Обычный 20 4" xfId="1840"/>
    <cellStyle name="Обычный 20 5" xfId="1841"/>
    <cellStyle name="Обычный 20 6" xfId="1842"/>
    <cellStyle name="Обычный 20 7" xfId="1843"/>
    <cellStyle name="Обычный 20 8" xfId="1844"/>
    <cellStyle name="Обычный 20 9" xfId="1845"/>
    <cellStyle name="Обычный 21" xfId="1846"/>
    <cellStyle name="Обычный 21 10" xfId="1847"/>
    <cellStyle name="Обычный 21 11" xfId="1848"/>
    <cellStyle name="Обычный 21 12" xfId="1849"/>
    <cellStyle name="Обычный 21 13" xfId="1850"/>
    <cellStyle name="Обычный 21 14" xfId="1851"/>
    <cellStyle name="Обычный 21 15" xfId="1852"/>
    <cellStyle name="Обычный 21 16" xfId="1853"/>
    <cellStyle name="Обычный 21 2" xfId="1854"/>
    <cellStyle name="Обычный 21 3" xfId="1855"/>
    <cellStyle name="Обычный 21 4" xfId="1856"/>
    <cellStyle name="Обычный 21 5" xfId="1857"/>
    <cellStyle name="Обычный 21 6" xfId="1858"/>
    <cellStyle name="Обычный 21 7" xfId="1859"/>
    <cellStyle name="Обычный 21 8" xfId="1860"/>
    <cellStyle name="Обычный 21 9" xfId="1861"/>
    <cellStyle name="Обычный 22" xfId="1862"/>
    <cellStyle name="Обычный 22 10" xfId="1863"/>
    <cellStyle name="Обычный 22 11" xfId="1864"/>
    <cellStyle name="Обычный 22 12" xfId="1865"/>
    <cellStyle name="Обычный 22 13" xfId="1866"/>
    <cellStyle name="Обычный 22 14" xfId="1867"/>
    <cellStyle name="Обычный 22 15" xfId="1868"/>
    <cellStyle name="Обычный 22 16" xfId="1869"/>
    <cellStyle name="Обычный 22 2" xfId="1870"/>
    <cellStyle name="Обычный 22 3" xfId="1871"/>
    <cellStyle name="Обычный 22 4" xfId="1872"/>
    <cellStyle name="Обычный 22 5" xfId="1873"/>
    <cellStyle name="Обычный 22 6" xfId="1874"/>
    <cellStyle name="Обычный 22 7" xfId="1875"/>
    <cellStyle name="Обычный 22 8" xfId="1876"/>
    <cellStyle name="Обычный 22 9" xfId="1877"/>
    <cellStyle name="Обычный 23" xfId="1878"/>
    <cellStyle name="Обычный 23 10" xfId="1879"/>
    <cellStyle name="Обычный 23 11" xfId="1880"/>
    <cellStyle name="Обычный 23 12" xfId="1881"/>
    <cellStyle name="Обычный 23 13" xfId="1882"/>
    <cellStyle name="Обычный 23 14" xfId="1883"/>
    <cellStyle name="Обычный 23 15" xfId="1884"/>
    <cellStyle name="Обычный 23 16" xfId="1885"/>
    <cellStyle name="Обычный 23 2" xfId="1886"/>
    <cellStyle name="Обычный 23 3" xfId="1887"/>
    <cellStyle name="Обычный 23 4" xfId="1888"/>
    <cellStyle name="Обычный 23 5" xfId="1889"/>
    <cellStyle name="Обычный 23 6" xfId="1890"/>
    <cellStyle name="Обычный 23 7" xfId="1891"/>
    <cellStyle name="Обычный 23 8" xfId="1892"/>
    <cellStyle name="Обычный 23 9" xfId="1893"/>
    <cellStyle name="Обычный 24" xfId="1894"/>
    <cellStyle name="Обычный 24 10" xfId="1895"/>
    <cellStyle name="Обычный 24 11" xfId="1896"/>
    <cellStyle name="Обычный 24 12" xfId="1897"/>
    <cellStyle name="Обычный 24 13" xfId="1898"/>
    <cellStyle name="Обычный 24 14" xfId="1899"/>
    <cellStyle name="Обычный 24 15" xfId="1900"/>
    <cellStyle name="Обычный 24 16" xfId="1901"/>
    <cellStyle name="Обычный 24 2" xfId="1902"/>
    <cellStyle name="Обычный 24 3" xfId="1903"/>
    <cellStyle name="Обычный 24 4" xfId="1904"/>
    <cellStyle name="Обычный 24 5" xfId="1905"/>
    <cellStyle name="Обычный 24 6" xfId="1906"/>
    <cellStyle name="Обычный 24 7" xfId="1907"/>
    <cellStyle name="Обычный 24 8" xfId="1908"/>
    <cellStyle name="Обычный 24 9" xfId="1909"/>
    <cellStyle name="Обычный 25" xfId="1910"/>
    <cellStyle name="Обычный 25 10" xfId="1911"/>
    <cellStyle name="Обычный 25 11" xfId="1912"/>
    <cellStyle name="Обычный 25 12" xfId="1913"/>
    <cellStyle name="Обычный 25 13" xfId="1914"/>
    <cellStyle name="Обычный 25 14" xfId="1915"/>
    <cellStyle name="Обычный 25 15" xfId="1916"/>
    <cellStyle name="Обычный 25 16" xfId="1917"/>
    <cellStyle name="Обычный 25 2" xfId="1918"/>
    <cellStyle name="Обычный 25 3" xfId="1919"/>
    <cellStyle name="Обычный 25 4" xfId="1920"/>
    <cellStyle name="Обычный 25 5" xfId="1921"/>
    <cellStyle name="Обычный 25 6" xfId="1922"/>
    <cellStyle name="Обычный 25 7" xfId="1923"/>
    <cellStyle name="Обычный 25 8" xfId="1924"/>
    <cellStyle name="Обычный 25 9" xfId="1925"/>
    <cellStyle name="Обычный 26" xfId="1926"/>
    <cellStyle name="Обычный 26 10" xfId="1927"/>
    <cellStyle name="Обычный 26 11" xfId="1928"/>
    <cellStyle name="Обычный 26 12" xfId="1929"/>
    <cellStyle name="Обычный 26 13" xfId="1930"/>
    <cellStyle name="Обычный 26 14" xfId="1931"/>
    <cellStyle name="Обычный 26 15" xfId="1932"/>
    <cellStyle name="Обычный 26 16" xfId="1933"/>
    <cellStyle name="Обычный 26 2" xfId="1934"/>
    <cellStyle name="Обычный 26 3" xfId="1935"/>
    <cellStyle name="Обычный 26 4" xfId="1936"/>
    <cellStyle name="Обычный 26 5" xfId="1937"/>
    <cellStyle name="Обычный 26 6" xfId="1938"/>
    <cellStyle name="Обычный 26 7" xfId="1939"/>
    <cellStyle name="Обычный 26 8" xfId="1940"/>
    <cellStyle name="Обычный 26 9" xfId="1941"/>
    <cellStyle name="Обычный 27" xfId="1942"/>
    <cellStyle name="Обычный 27 10" xfId="1943"/>
    <cellStyle name="Обычный 27 11" xfId="1944"/>
    <cellStyle name="Обычный 27 12" xfId="1945"/>
    <cellStyle name="Обычный 27 13" xfId="1946"/>
    <cellStyle name="Обычный 27 14" xfId="1947"/>
    <cellStyle name="Обычный 27 15" xfId="1948"/>
    <cellStyle name="Обычный 27 16" xfId="1949"/>
    <cellStyle name="Обычный 27 2" xfId="1950"/>
    <cellStyle name="Обычный 27 3" xfId="1951"/>
    <cellStyle name="Обычный 27 4" xfId="1952"/>
    <cellStyle name="Обычный 27 5" xfId="1953"/>
    <cellStyle name="Обычный 27 6" xfId="1954"/>
    <cellStyle name="Обычный 27 7" xfId="1955"/>
    <cellStyle name="Обычный 27 8" xfId="1956"/>
    <cellStyle name="Обычный 27 9" xfId="1957"/>
    <cellStyle name="Обычный 28" xfId="1958"/>
    <cellStyle name="Обычный 28 10" xfId="1959"/>
    <cellStyle name="Обычный 28 11" xfId="1960"/>
    <cellStyle name="Обычный 28 12" xfId="1961"/>
    <cellStyle name="Обычный 28 13" xfId="1962"/>
    <cellStyle name="Обычный 28 14" xfId="1963"/>
    <cellStyle name="Обычный 28 15" xfId="1964"/>
    <cellStyle name="Обычный 28 16" xfId="1965"/>
    <cellStyle name="Обычный 28 2" xfId="1966"/>
    <cellStyle name="Обычный 28 3" xfId="1967"/>
    <cellStyle name="Обычный 28 4" xfId="1968"/>
    <cellStyle name="Обычный 28 5" xfId="1969"/>
    <cellStyle name="Обычный 28 6" xfId="1970"/>
    <cellStyle name="Обычный 28 7" xfId="1971"/>
    <cellStyle name="Обычный 28 8" xfId="1972"/>
    <cellStyle name="Обычный 28 9" xfId="1973"/>
    <cellStyle name="Обычный 29" xfId="1974"/>
    <cellStyle name="Обычный 29 10" xfId="1975"/>
    <cellStyle name="Обычный 29 11" xfId="1976"/>
    <cellStyle name="Обычный 29 12" xfId="1977"/>
    <cellStyle name="Обычный 29 13" xfId="1978"/>
    <cellStyle name="Обычный 29 14" xfId="1979"/>
    <cellStyle name="Обычный 29 15" xfId="1980"/>
    <cellStyle name="Обычный 29 16" xfId="1981"/>
    <cellStyle name="Обычный 29 17" xfId="1982"/>
    <cellStyle name="Обычный 29 18" xfId="1983"/>
    <cellStyle name="Обычный 29 19" xfId="1984"/>
    <cellStyle name="Обычный 29 2" xfId="1985"/>
    <cellStyle name="Обычный 29 20" xfId="1986"/>
    <cellStyle name="Обычный 29 21" xfId="1987"/>
    <cellStyle name="Обычный 29 22" xfId="1988"/>
    <cellStyle name="Обычный 29 23" xfId="1989"/>
    <cellStyle name="Обычный 29 24" xfId="1990"/>
    <cellStyle name="Обычный 29 25" xfId="1991"/>
    <cellStyle name="Обычный 29 26" xfId="1992"/>
    <cellStyle name="Обычный 29 27" xfId="1993"/>
    <cellStyle name="Обычный 29 28" xfId="1994"/>
    <cellStyle name="Обычный 29 29" xfId="1995"/>
    <cellStyle name="Обычный 29 3" xfId="1996"/>
    <cellStyle name="Обычный 29 30" xfId="1997"/>
    <cellStyle name="Обычный 29 31" xfId="1998"/>
    <cellStyle name="Обычный 29 32" xfId="1999"/>
    <cellStyle name="Обычный 29 33" xfId="2000"/>
    <cellStyle name="Обычный 29 34" xfId="2001"/>
    <cellStyle name="Обычный 29 35" xfId="2002"/>
    <cellStyle name="Обычный 29 36" xfId="2003"/>
    <cellStyle name="Обычный 29 37" xfId="2004"/>
    <cellStyle name="Обычный 29 38" xfId="2005"/>
    <cellStyle name="Обычный 29 39" xfId="2006"/>
    <cellStyle name="Обычный 29 4" xfId="2007"/>
    <cellStyle name="Обычный 29 40" xfId="2008"/>
    <cellStyle name="Обычный 29 41" xfId="2009"/>
    <cellStyle name="Обычный 29 42" xfId="2010"/>
    <cellStyle name="Обычный 29 43" xfId="2011"/>
    <cellStyle name="Обычный 29 44" xfId="2012"/>
    <cellStyle name="Обычный 29 45" xfId="2013"/>
    <cellStyle name="Обычный 29 46" xfId="2014"/>
    <cellStyle name="Обычный 29 47" xfId="2015"/>
    <cellStyle name="Обычный 29 48" xfId="2016"/>
    <cellStyle name="Обычный 29 49" xfId="2017"/>
    <cellStyle name="Обычный 29 5" xfId="2018"/>
    <cellStyle name="Обычный 29 50" xfId="2019"/>
    <cellStyle name="Обычный 29 51" xfId="2020"/>
    <cellStyle name="Обычный 29 6" xfId="2021"/>
    <cellStyle name="Обычный 29 7" xfId="2022"/>
    <cellStyle name="Обычный 29 8" xfId="2023"/>
    <cellStyle name="Обычный 29 9" xfId="2024"/>
    <cellStyle name="Обычный 3" xfId="2025"/>
    <cellStyle name="Обычный 3 10" xfId="2026"/>
    <cellStyle name="Обычный 3 11" xfId="2027"/>
    <cellStyle name="Обычный 3 12" xfId="2028"/>
    <cellStyle name="Обычный 3 13" xfId="2029"/>
    <cellStyle name="Обычный 3 14" xfId="2030"/>
    <cellStyle name="Обычный 3 15" xfId="2031"/>
    <cellStyle name="Обычный 3 16" xfId="2032"/>
    <cellStyle name="Обычный 3 17" xfId="2033"/>
    <cellStyle name="Обычный 3 18" xfId="2034"/>
    <cellStyle name="Обычный 3 19" xfId="2035"/>
    <cellStyle name="Обычный 3 2" xfId="2036"/>
    <cellStyle name="Обычный 3 20" xfId="2037"/>
    <cellStyle name="Обычный 3 21" xfId="2038"/>
    <cellStyle name="Обычный 3 22" xfId="2039"/>
    <cellStyle name="Обычный 3 23" xfId="2040"/>
    <cellStyle name="Обычный 3 24" xfId="2041"/>
    <cellStyle name="Обычный 3 25" xfId="2042"/>
    <cellStyle name="Обычный 3 26" xfId="2043"/>
    <cellStyle name="Обычный 3 27" xfId="2044"/>
    <cellStyle name="Обычный 3 28" xfId="2045"/>
    <cellStyle name="Обычный 3 29" xfId="2046"/>
    <cellStyle name="Обычный 3 3" xfId="2047"/>
    <cellStyle name="Обычный 3 30" xfId="2048"/>
    <cellStyle name="Обычный 3 31" xfId="2049"/>
    <cellStyle name="Обычный 3 32" xfId="2050"/>
    <cellStyle name="Обычный 3 33" xfId="2051"/>
    <cellStyle name="Обычный 3 34" xfId="2052"/>
    <cellStyle name="Обычный 3 35" xfId="2053"/>
    <cellStyle name="Обычный 3 36" xfId="2054"/>
    <cellStyle name="Обычный 3 37" xfId="2055"/>
    <cellStyle name="Обычный 3 38" xfId="2056"/>
    <cellStyle name="Обычный 3 39" xfId="2057"/>
    <cellStyle name="Обычный 3 4" xfId="2058"/>
    <cellStyle name="Обычный 3 40" xfId="2059"/>
    <cellStyle name="Обычный 3 41" xfId="2060"/>
    <cellStyle name="Обычный 3 42" xfId="2061"/>
    <cellStyle name="Обычный 3 43" xfId="2062"/>
    <cellStyle name="Обычный 3 44" xfId="2063"/>
    <cellStyle name="Обычный 3 45" xfId="2064"/>
    <cellStyle name="Обычный 3 46" xfId="2065"/>
    <cellStyle name="Обычный 3 47" xfId="2066"/>
    <cellStyle name="Обычный 3 48" xfId="2067"/>
    <cellStyle name="Обычный 3 49" xfId="2068"/>
    <cellStyle name="Обычный 3 5" xfId="2069"/>
    <cellStyle name="Обычный 3 50" xfId="2070"/>
    <cellStyle name="Обычный 3 51" xfId="2071"/>
    <cellStyle name="Обычный 3 52" xfId="2072"/>
    <cellStyle name="Обычный 3 53" xfId="2073"/>
    <cellStyle name="Обычный 3 54" xfId="2074"/>
    <cellStyle name="Обычный 3 55" xfId="2075"/>
    <cellStyle name="Обычный 3 56" xfId="2076"/>
    <cellStyle name="Обычный 3 57" xfId="2077"/>
    <cellStyle name="Обычный 3 58" xfId="2078"/>
    <cellStyle name="Обычный 3 6" xfId="2079"/>
    <cellStyle name="Обычный 3 7" xfId="2080"/>
    <cellStyle name="Обычный 3 8" xfId="2081"/>
    <cellStyle name="Обычный 3 9" xfId="2082"/>
    <cellStyle name="Обычный 30" xfId="2083"/>
    <cellStyle name="Обычный 30 10" xfId="2084"/>
    <cellStyle name="Обычный 30 11" xfId="2085"/>
    <cellStyle name="Обычный 30 12" xfId="2086"/>
    <cellStyle name="Обычный 30 13" xfId="2087"/>
    <cellStyle name="Обычный 30 14" xfId="2088"/>
    <cellStyle name="Обычный 30 15" xfId="2089"/>
    <cellStyle name="Обычный 30 16" xfId="2090"/>
    <cellStyle name="Обычный 30 2" xfId="2091"/>
    <cellStyle name="Обычный 30 3" xfId="2092"/>
    <cellStyle name="Обычный 30 4" xfId="2093"/>
    <cellStyle name="Обычный 30 5" xfId="2094"/>
    <cellStyle name="Обычный 30 6" xfId="2095"/>
    <cellStyle name="Обычный 30 7" xfId="2096"/>
    <cellStyle name="Обычный 30 8" xfId="2097"/>
    <cellStyle name="Обычный 30 9" xfId="2098"/>
    <cellStyle name="Обычный 31" xfId="2099"/>
    <cellStyle name="Обычный 31 10" xfId="2100"/>
    <cellStyle name="Обычный 31 11" xfId="2101"/>
    <cellStyle name="Обычный 31 12" xfId="2102"/>
    <cellStyle name="Обычный 31 13" xfId="2103"/>
    <cellStyle name="Обычный 31 14" xfId="2104"/>
    <cellStyle name="Обычный 31 15" xfId="2105"/>
    <cellStyle name="Обычный 31 16" xfId="2106"/>
    <cellStyle name="Обычный 31 2" xfId="2107"/>
    <cellStyle name="Обычный 31 3" xfId="2108"/>
    <cellStyle name="Обычный 31 4" xfId="2109"/>
    <cellStyle name="Обычный 31 5" xfId="2110"/>
    <cellStyle name="Обычный 31 6" xfId="2111"/>
    <cellStyle name="Обычный 31 7" xfId="2112"/>
    <cellStyle name="Обычный 31 8" xfId="2113"/>
    <cellStyle name="Обычный 31 9" xfId="2114"/>
    <cellStyle name="Обычный 32" xfId="2115"/>
    <cellStyle name="Обычный 32 2" xfId="2116"/>
    <cellStyle name="Обычный 33" xfId="2117"/>
    <cellStyle name="Обычный 33 10" xfId="2118"/>
    <cellStyle name="Обычный 33 11" xfId="2119"/>
    <cellStyle name="Обычный 33 12" xfId="2120"/>
    <cellStyle name="Обычный 33 13" xfId="2121"/>
    <cellStyle name="Обычный 33 14" xfId="2122"/>
    <cellStyle name="Обычный 33 15" xfId="2123"/>
    <cellStyle name="Обычный 33 16" xfId="2124"/>
    <cellStyle name="Обычный 33 2" xfId="2125"/>
    <cellStyle name="Обычный 33 3" xfId="2126"/>
    <cellStyle name="Обычный 33 4" xfId="2127"/>
    <cellStyle name="Обычный 33 5" xfId="2128"/>
    <cellStyle name="Обычный 33 6" xfId="2129"/>
    <cellStyle name="Обычный 33 7" xfId="2130"/>
    <cellStyle name="Обычный 33 8" xfId="2131"/>
    <cellStyle name="Обычный 33 9" xfId="2132"/>
    <cellStyle name="Обычный 34" xfId="2133"/>
    <cellStyle name="Обычный 34 10" xfId="2134"/>
    <cellStyle name="Обычный 34 11" xfId="2135"/>
    <cellStyle name="Обычный 34 12" xfId="2136"/>
    <cellStyle name="Обычный 34 13" xfId="2137"/>
    <cellStyle name="Обычный 34 14" xfId="2138"/>
    <cellStyle name="Обычный 34 15" xfId="2139"/>
    <cellStyle name="Обычный 34 16" xfId="2140"/>
    <cellStyle name="Обычный 34 2" xfId="2141"/>
    <cellStyle name="Обычный 34 3" xfId="2142"/>
    <cellStyle name="Обычный 34 4" xfId="2143"/>
    <cellStyle name="Обычный 34 5" xfId="2144"/>
    <cellStyle name="Обычный 34 6" xfId="2145"/>
    <cellStyle name="Обычный 34 7" xfId="2146"/>
    <cellStyle name="Обычный 34 8" xfId="2147"/>
    <cellStyle name="Обычный 34 9" xfId="2148"/>
    <cellStyle name="Обычный 35" xfId="2149"/>
    <cellStyle name="Обычный 36" xfId="2150"/>
    <cellStyle name="Обычный 36 2" xfId="2151"/>
    <cellStyle name="Обычный 37" xfId="2152"/>
    <cellStyle name="Обычный 37 10" xfId="2153"/>
    <cellStyle name="Обычный 37 11" xfId="2154"/>
    <cellStyle name="Обычный 37 12" xfId="2155"/>
    <cellStyle name="Обычный 37 13" xfId="2156"/>
    <cellStyle name="Обычный 37 14" xfId="2157"/>
    <cellStyle name="Обычный 37 15" xfId="2158"/>
    <cellStyle name="Обычный 37 16" xfId="2159"/>
    <cellStyle name="Обычный 37 17" xfId="2160"/>
    <cellStyle name="Обычный 37 18" xfId="2161"/>
    <cellStyle name="Обычный 37 19" xfId="2162"/>
    <cellStyle name="Обычный 37 2" xfId="2163"/>
    <cellStyle name="Обычный 37 20" xfId="2164"/>
    <cellStyle name="Обычный 37 21" xfId="2165"/>
    <cellStyle name="Обычный 37 22" xfId="2166"/>
    <cellStyle name="Обычный 37 23" xfId="2167"/>
    <cellStyle name="Обычный 37 24" xfId="2168"/>
    <cellStyle name="Обычный 37 25" xfId="2169"/>
    <cellStyle name="Обычный 37 3" xfId="2170"/>
    <cellStyle name="Обычный 37 4" xfId="2171"/>
    <cellStyle name="Обычный 37 5" xfId="2172"/>
    <cellStyle name="Обычный 37 6" xfId="2173"/>
    <cellStyle name="Обычный 37 7" xfId="2174"/>
    <cellStyle name="Обычный 37 8" xfId="2175"/>
    <cellStyle name="Обычный 37 9" xfId="2176"/>
    <cellStyle name="Обычный 38" xfId="2177"/>
    <cellStyle name="Обычный 38 2" xfId="2178"/>
    <cellStyle name="Обычный 39" xfId="2179"/>
    <cellStyle name="Обычный 39 2" xfId="2180"/>
    <cellStyle name="Обычный 4" xfId="31"/>
    <cellStyle name="Обычный 4 10" xfId="2181"/>
    <cellStyle name="Обычный 4 10 10" xfId="2182"/>
    <cellStyle name="Обычный 4 10 10 2" xfId="2183"/>
    <cellStyle name="Обычный 4 10 11" xfId="2184"/>
    <cellStyle name="Обычный 4 10 11 2" xfId="2185"/>
    <cellStyle name="Обычный 4 10 12" xfId="2186"/>
    <cellStyle name="Обычный 4 10 12 2" xfId="2187"/>
    <cellStyle name="Обычный 4 10 13" xfId="2188"/>
    <cellStyle name="Обычный 4 10 13 2" xfId="2189"/>
    <cellStyle name="Обычный 4 10 14" xfId="2190"/>
    <cellStyle name="Обычный 4 10 14 2" xfId="2191"/>
    <cellStyle name="Обычный 4 10 15" xfId="2192"/>
    <cellStyle name="Обычный 4 10 15 2" xfId="2193"/>
    <cellStyle name="Обычный 4 10 16" xfId="2194"/>
    <cellStyle name="Обычный 4 10 16 2" xfId="2195"/>
    <cellStyle name="Обычный 4 10 17" xfId="2196"/>
    <cellStyle name="Обычный 4 10 17 2" xfId="2197"/>
    <cellStyle name="Обычный 4 10 18" xfId="2198"/>
    <cellStyle name="Обычный 4 10 18 2" xfId="2199"/>
    <cellStyle name="Обычный 4 10 19" xfId="2200"/>
    <cellStyle name="Обычный 4 10 2" xfId="2201"/>
    <cellStyle name="Обычный 4 10 2 10" xfId="2202"/>
    <cellStyle name="Обычный 4 10 2 10 2" xfId="2203"/>
    <cellStyle name="Обычный 4 10 2 11" xfId="2204"/>
    <cellStyle name="Обычный 4 10 2 11 2" xfId="2205"/>
    <cellStyle name="Обычный 4 10 2 12" xfId="2206"/>
    <cellStyle name="Обычный 4 10 2 12 2" xfId="2207"/>
    <cellStyle name="Обычный 4 10 2 13" xfId="2208"/>
    <cellStyle name="Обычный 4 10 2 13 2" xfId="2209"/>
    <cellStyle name="Обычный 4 10 2 14" xfId="2210"/>
    <cellStyle name="Обычный 4 10 2 14 2" xfId="2211"/>
    <cellStyle name="Обычный 4 10 2 15" xfId="2212"/>
    <cellStyle name="Обычный 4 10 2 15 2" xfId="2213"/>
    <cellStyle name="Обычный 4 10 2 16" xfId="2214"/>
    <cellStyle name="Обычный 4 10 2 16 2" xfId="2215"/>
    <cellStyle name="Обычный 4 10 2 17" xfId="2216"/>
    <cellStyle name="Обычный 4 10 2 18" xfId="2217"/>
    <cellStyle name="Обычный 4 10 2 19" xfId="2218"/>
    <cellStyle name="Обычный 4 10 2 2" xfId="2219"/>
    <cellStyle name="Обычный 4 10 2 2 2" xfId="2220"/>
    <cellStyle name="Обычный 4 10 2 20" xfId="2221"/>
    <cellStyle name="Обычный 4 10 2 3" xfId="2222"/>
    <cellStyle name="Обычный 4 10 2 3 2" xfId="2223"/>
    <cellStyle name="Обычный 4 10 2 4" xfId="2224"/>
    <cellStyle name="Обычный 4 10 2 4 2" xfId="2225"/>
    <cellStyle name="Обычный 4 10 2 5" xfId="2226"/>
    <cellStyle name="Обычный 4 10 2 5 2" xfId="2227"/>
    <cellStyle name="Обычный 4 10 2 6" xfId="2228"/>
    <cellStyle name="Обычный 4 10 2 6 2" xfId="2229"/>
    <cellStyle name="Обычный 4 10 2 7" xfId="2230"/>
    <cellStyle name="Обычный 4 10 2 7 2" xfId="2231"/>
    <cellStyle name="Обычный 4 10 2 8" xfId="2232"/>
    <cellStyle name="Обычный 4 10 2 8 2" xfId="2233"/>
    <cellStyle name="Обычный 4 10 2 9" xfId="2234"/>
    <cellStyle name="Обычный 4 10 2 9 2" xfId="2235"/>
    <cellStyle name="Обычный 4 10 20" xfId="2236"/>
    <cellStyle name="Обычный 4 10 21" xfId="2237"/>
    <cellStyle name="Обычный 4 10 3" xfId="2238"/>
    <cellStyle name="Обычный 4 10 3 10" xfId="2239"/>
    <cellStyle name="Обычный 4 10 3 10 2" xfId="2240"/>
    <cellStyle name="Обычный 4 10 3 11" xfId="2241"/>
    <cellStyle name="Обычный 4 10 3 11 2" xfId="2242"/>
    <cellStyle name="Обычный 4 10 3 12" xfId="2243"/>
    <cellStyle name="Обычный 4 10 3 12 2" xfId="2244"/>
    <cellStyle name="Обычный 4 10 3 13" xfId="2245"/>
    <cellStyle name="Обычный 4 10 3 13 2" xfId="2246"/>
    <cellStyle name="Обычный 4 10 3 14" xfId="2247"/>
    <cellStyle name="Обычный 4 10 3 14 2" xfId="2248"/>
    <cellStyle name="Обычный 4 10 3 15" xfId="2249"/>
    <cellStyle name="Обычный 4 10 3 15 2" xfId="2250"/>
    <cellStyle name="Обычный 4 10 3 16" xfId="2251"/>
    <cellStyle name="Обычный 4 10 3 16 2" xfId="2252"/>
    <cellStyle name="Обычный 4 10 3 17" xfId="2253"/>
    <cellStyle name="Обычный 4 10 3 18" xfId="2254"/>
    <cellStyle name="Обычный 4 10 3 19" xfId="2255"/>
    <cellStyle name="Обычный 4 10 3 2" xfId="2256"/>
    <cellStyle name="Обычный 4 10 3 2 2" xfId="2257"/>
    <cellStyle name="Обычный 4 10 3 3" xfId="2258"/>
    <cellStyle name="Обычный 4 10 3 3 2" xfId="2259"/>
    <cellStyle name="Обычный 4 10 3 4" xfId="2260"/>
    <cellStyle name="Обычный 4 10 3 4 2" xfId="2261"/>
    <cellStyle name="Обычный 4 10 3 5" xfId="2262"/>
    <cellStyle name="Обычный 4 10 3 5 2" xfId="2263"/>
    <cellStyle name="Обычный 4 10 3 6" xfId="2264"/>
    <cellStyle name="Обычный 4 10 3 6 2" xfId="2265"/>
    <cellStyle name="Обычный 4 10 3 7" xfId="2266"/>
    <cellStyle name="Обычный 4 10 3 7 2" xfId="2267"/>
    <cellStyle name="Обычный 4 10 3 8" xfId="2268"/>
    <cellStyle name="Обычный 4 10 3 8 2" xfId="2269"/>
    <cellStyle name="Обычный 4 10 3 9" xfId="2270"/>
    <cellStyle name="Обычный 4 10 3 9 2" xfId="2271"/>
    <cellStyle name="Обычный 4 10 4" xfId="2272"/>
    <cellStyle name="Обычный 4 10 4 2" xfId="2273"/>
    <cellStyle name="Обычный 4 10 5" xfId="2274"/>
    <cellStyle name="Обычный 4 10 5 2" xfId="2275"/>
    <cellStyle name="Обычный 4 10 6" xfId="2276"/>
    <cellStyle name="Обычный 4 10 6 2" xfId="2277"/>
    <cellStyle name="Обычный 4 10 7" xfId="2278"/>
    <cellStyle name="Обычный 4 10 7 2" xfId="2279"/>
    <cellStyle name="Обычный 4 10 8" xfId="2280"/>
    <cellStyle name="Обычный 4 10 8 2" xfId="2281"/>
    <cellStyle name="Обычный 4 10 9" xfId="2282"/>
    <cellStyle name="Обычный 4 10 9 2" xfId="2283"/>
    <cellStyle name="Обычный 4 11" xfId="2284"/>
    <cellStyle name="Обычный 4 11 10" xfId="2285"/>
    <cellStyle name="Обычный 4 11 10 2" xfId="2286"/>
    <cellStyle name="Обычный 4 11 11" xfId="2287"/>
    <cellStyle name="Обычный 4 11 11 2" xfId="2288"/>
    <cellStyle name="Обычный 4 11 12" xfId="2289"/>
    <cellStyle name="Обычный 4 11 12 2" xfId="2290"/>
    <cellStyle name="Обычный 4 11 13" xfId="2291"/>
    <cellStyle name="Обычный 4 11 13 2" xfId="2292"/>
    <cellStyle name="Обычный 4 11 14" xfId="2293"/>
    <cellStyle name="Обычный 4 11 14 2" xfId="2294"/>
    <cellStyle name="Обычный 4 11 15" xfId="2295"/>
    <cellStyle name="Обычный 4 11 15 2" xfId="2296"/>
    <cellStyle name="Обычный 4 11 16" xfId="2297"/>
    <cellStyle name="Обычный 4 11 16 2" xfId="2298"/>
    <cellStyle name="Обычный 4 11 17" xfId="2299"/>
    <cellStyle name="Обычный 4 11 17 2" xfId="2300"/>
    <cellStyle name="Обычный 4 11 18" xfId="2301"/>
    <cellStyle name="Обычный 4 11 18 2" xfId="2302"/>
    <cellStyle name="Обычный 4 11 19" xfId="2303"/>
    <cellStyle name="Обычный 4 11 2" xfId="2304"/>
    <cellStyle name="Обычный 4 11 2 10" xfId="2305"/>
    <cellStyle name="Обычный 4 11 2 10 2" xfId="2306"/>
    <cellStyle name="Обычный 4 11 2 11" xfId="2307"/>
    <cellStyle name="Обычный 4 11 2 11 2" xfId="2308"/>
    <cellStyle name="Обычный 4 11 2 12" xfId="2309"/>
    <cellStyle name="Обычный 4 11 2 12 2" xfId="2310"/>
    <cellStyle name="Обычный 4 11 2 13" xfId="2311"/>
    <cellStyle name="Обычный 4 11 2 13 2" xfId="2312"/>
    <cellStyle name="Обычный 4 11 2 14" xfId="2313"/>
    <cellStyle name="Обычный 4 11 2 14 2" xfId="2314"/>
    <cellStyle name="Обычный 4 11 2 15" xfId="2315"/>
    <cellStyle name="Обычный 4 11 2 15 2" xfId="2316"/>
    <cellStyle name="Обычный 4 11 2 16" xfId="2317"/>
    <cellStyle name="Обычный 4 11 2 16 2" xfId="2318"/>
    <cellStyle name="Обычный 4 11 2 17" xfId="2319"/>
    <cellStyle name="Обычный 4 11 2 18" xfId="2320"/>
    <cellStyle name="Обычный 4 11 2 19" xfId="2321"/>
    <cellStyle name="Обычный 4 11 2 2" xfId="2322"/>
    <cellStyle name="Обычный 4 11 2 2 2" xfId="2323"/>
    <cellStyle name="Обычный 4 11 2 20" xfId="2324"/>
    <cellStyle name="Обычный 4 11 2 3" xfId="2325"/>
    <cellStyle name="Обычный 4 11 2 3 2" xfId="2326"/>
    <cellStyle name="Обычный 4 11 2 4" xfId="2327"/>
    <cellStyle name="Обычный 4 11 2 4 2" xfId="2328"/>
    <cellStyle name="Обычный 4 11 2 5" xfId="2329"/>
    <cellStyle name="Обычный 4 11 2 5 2" xfId="2330"/>
    <cellStyle name="Обычный 4 11 2 6" xfId="2331"/>
    <cellStyle name="Обычный 4 11 2 6 2" xfId="2332"/>
    <cellStyle name="Обычный 4 11 2 7" xfId="2333"/>
    <cellStyle name="Обычный 4 11 2 7 2" xfId="2334"/>
    <cellStyle name="Обычный 4 11 2 8" xfId="2335"/>
    <cellStyle name="Обычный 4 11 2 8 2" xfId="2336"/>
    <cellStyle name="Обычный 4 11 2 9" xfId="2337"/>
    <cellStyle name="Обычный 4 11 2 9 2" xfId="2338"/>
    <cellStyle name="Обычный 4 11 20" xfId="2339"/>
    <cellStyle name="Обычный 4 11 21" xfId="2340"/>
    <cellStyle name="Обычный 4 11 3" xfId="2341"/>
    <cellStyle name="Обычный 4 11 3 10" xfId="2342"/>
    <cellStyle name="Обычный 4 11 3 10 2" xfId="2343"/>
    <cellStyle name="Обычный 4 11 3 11" xfId="2344"/>
    <cellStyle name="Обычный 4 11 3 11 2" xfId="2345"/>
    <cellStyle name="Обычный 4 11 3 12" xfId="2346"/>
    <cellStyle name="Обычный 4 11 3 12 2" xfId="2347"/>
    <cellStyle name="Обычный 4 11 3 13" xfId="2348"/>
    <cellStyle name="Обычный 4 11 3 13 2" xfId="2349"/>
    <cellStyle name="Обычный 4 11 3 14" xfId="2350"/>
    <cellStyle name="Обычный 4 11 3 14 2" xfId="2351"/>
    <cellStyle name="Обычный 4 11 3 15" xfId="2352"/>
    <cellStyle name="Обычный 4 11 3 15 2" xfId="2353"/>
    <cellStyle name="Обычный 4 11 3 16" xfId="2354"/>
    <cellStyle name="Обычный 4 11 3 16 2" xfId="2355"/>
    <cellStyle name="Обычный 4 11 3 17" xfId="2356"/>
    <cellStyle name="Обычный 4 11 3 18" xfId="2357"/>
    <cellStyle name="Обычный 4 11 3 19" xfId="2358"/>
    <cellStyle name="Обычный 4 11 3 2" xfId="2359"/>
    <cellStyle name="Обычный 4 11 3 2 2" xfId="2360"/>
    <cellStyle name="Обычный 4 11 3 3" xfId="2361"/>
    <cellStyle name="Обычный 4 11 3 3 2" xfId="2362"/>
    <cellStyle name="Обычный 4 11 3 4" xfId="2363"/>
    <cellStyle name="Обычный 4 11 3 4 2" xfId="2364"/>
    <cellStyle name="Обычный 4 11 3 5" xfId="2365"/>
    <cellStyle name="Обычный 4 11 3 5 2" xfId="2366"/>
    <cellStyle name="Обычный 4 11 3 6" xfId="2367"/>
    <cellStyle name="Обычный 4 11 3 6 2" xfId="2368"/>
    <cellStyle name="Обычный 4 11 3 7" xfId="2369"/>
    <cellStyle name="Обычный 4 11 3 7 2" xfId="2370"/>
    <cellStyle name="Обычный 4 11 3 8" xfId="2371"/>
    <cellStyle name="Обычный 4 11 3 8 2" xfId="2372"/>
    <cellStyle name="Обычный 4 11 3 9" xfId="2373"/>
    <cellStyle name="Обычный 4 11 3 9 2" xfId="2374"/>
    <cellStyle name="Обычный 4 11 4" xfId="2375"/>
    <cellStyle name="Обычный 4 11 4 2" xfId="2376"/>
    <cellStyle name="Обычный 4 11 5" xfId="2377"/>
    <cellStyle name="Обычный 4 11 5 2" xfId="2378"/>
    <cellStyle name="Обычный 4 11 6" xfId="2379"/>
    <cellStyle name="Обычный 4 11 6 2" xfId="2380"/>
    <cellStyle name="Обычный 4 11 7" xfId="2381"/>
    <cellStyle name="Обычный 4 11 7 2" xfId="2382"/>
    <cellStyle name="Обычный 4 11 8" xfId="2383"/>
    <cellStyle name="Обычный 4 11 8 2" xfId="2384"/>
    <cellStyle name="Обычный 4 11 9" xfId="2385"/>
    <cellStyle name="Обычный 4 11 9 2" xfId="2386"/>
    <cellStyle name="Обычный 4 12" xfId="2387"/>
    <cellStyle name="Обычный 4 12 10" xfId="2388"/>
    <cellStyle name="Обычный 4 12 10 2" xfId="2389"/>
    <cellStyle name="Обычный 4 12 11" xfId="2390"/>
    <cellStyle name="Обычный 4 12 11 2" xfId="2391"/>
    <cellStyle name="Обычный 4 12 12" xfId="2392"/>
    <cellStyle name="Обычный 4 12 12 2" xfId="2393"/>
    <cellStyle name="Обычный 4 12 13" xfId="2394"/>
    <cellStyle name="Обычный 4 12 13 2" xfId="2395"/>
    <cellStyle name="Обычный 4 12 14" xfId="2396"/>
    <cellStyle name="Обычный 4 12 14 2" xfId="2397"/>
    <cellStyle name="Обычный 4 12 15" xfId="2398"/>
    <cellStyle name="Обычный 4 12 15 2" xfId="2399"/>
    <cellStyle name="Обычный 4 12 16" xfId="2400"/>
    <cellStyle name="Обычный 4 12 16 2" xfId="2401"/>
    <cellStyle name="Обычный 4 12 17" xfId="2402"/>
    <cellStyle name="Обычный 4 12 17 2" xfId="2403"/>
    <cellStyle name="Обычный 4 12 18" xfId="2404"/>
    <cellStyle name="Обычный 4 12 18 2" xfId="2405"/>
    <cellStyle name="Обычный 4 12 19" xfId="2406"/>
    <cellStyle name="Обычный 4 12 2" xfId="2407"/>
    <cellStyle name="Обычный 4 12 2 10" xfId="2408"/>
    <cellStyle name="Обычный 4 12 2 10 2" xfId="2409"/>
    <cellStyle name="Обычный 4 12 2 11" xfId="2410"/>
    <cellStyle name="Обычный 4 12 2 11 2" xfId="2411"/>
    <cellStyle name="Обычный 4 12 2 12" xfId="2412"/>
    <cellStyle name="Обычный 4 12 2 12 2" xfId="2413"/>
    <cellStyle name="Обычный 4 12 2 13" xfId="2414"/>
    <cellStyle name="Обычный 4 12 2 13 2" xfId="2415"/>
    <cellStyle name="Обычный 4 12 2 14" xfId="2416"/>
    <cellStyle name="Обычный 4 12 2 14 2" xfId="2417"/>
    <cellStyle name="Обычный 4 12 2 15" xfId="2418"/>
    <cellStyle name="Обычный 4 12 2 15 2" xfId="2419"/>
    <cellStyle name="Обычный 4 12 2 16" xfId="2420"/>
    <cellStyle name="Обычный 4 12 2 16 2" xfId="2421"/>
    <cellStyle name="Обычный 4 12 2 17" xfId="2422"/>
    <cellStyle name="Обычный 4 12 2 18" xfId="2423"/>
    <cellStyle name="Обычный 4 12 2 19" xfId="2424"/>
    <cellStyle name="Обычный 4 12 2 2" xfId="2425"/>
    <cellStyle name="Обычный 4 12 2 2 2" xfId="2426"/>
    <cellStyle name="Обычный 4 12 2 20" xfId="2427"/>
    <cellStyle name="Обычный 4 12 2 3" xfId="2428"/>
    <cellStyle name="Обычный 4 12 2 3 2" xfId="2429"/>
    <cellStyle name="Обычный 4 12 2 4" xfId="2430"/>
    <cellStyle name="Обычный 4 12 2 4 2" xfId="2431"/>
    <cellStyle name="Обычный 4 12 2 5" xfId="2432"/>
    <cellStyle name="Обычный 4 12 2 5 2" xfId="2433"/>
    <cellStyle name="Обычный 4 12 2 6" xfId="2434"/>
    <cellStyle name="Обычный 4 12 2 6 2" xfId="2435"/>
    <cellStyle name="Обычный 4 12 2 7" xfId="2436"/>
    <cellStyle name="Обычный 4 12 2 7 2" xfId="2437"/>
    <cellStyle name="Обычный 4 12 2 8" xfId="2438"/>
    <cellStyle name="Обычный 4 12 2 8 2" xfId="2439"/>
    <cellStyle name="Обычный 4 12 2 9" xfId="2440"/>
    <cellStyle name="Обычный 4 12 2 9 2" xfId="2441"/>
    <cellStyle name="Обычный 4 12 20" xfId="2442"/>
    <cellStyle name="Обычный 4 12 21" xfId="2443"/>
    <cellStyle name="Обычный 4 12 3" xfId="2444"/>
    <cellStyle name="Обычный 4 12 3 10" xfId="2445"/>
    <cellStyle name="Обычный 4 12 3 10 2" xfId="2446"/>
    <cellStyle name="Обычный 4 12 3 11" xfId="2447"/>
    <cellStyle name="Обычный 4 12 3 11 2" xfId="2448"/>
    <cellStyle name="Обычный 4 12 3 12" xfId="2449"/>
    <cellStyle name="Обычный 4 12 3 12 2" xfId="2450"/>
    <cellStyle name="Обычный 4 12 3 13" xfId="2451"/>
    <cellStyle name="Обычный 4 12 3 13 2" xfId="2452"/>
    <cellStyle name="Обычный 4 12 3 14" xfId="2453"/>
    <cellStyle name="Обычный 4 12 3 14 2" xfId="2454"/>
    <cellStyle name="Обычный 4 12 3 15" xfId="2455"/>
    <cellStyle name="Обычный 4 12 3 15 2" xfId="2456"/>
    <cellStyle name="Обычный 4 12 3 16" xfId="2457"/>
    <cellStyle name="Обычный 4 12 3 16 2" xfId="2458"/>
    <cellStyle name="Обычный 4 12 3 17" xfId="2459"/>
    <cellStyle name="Обычный 4 12 3 18" xfId="2460"/>
    <cellStyle name="Обычный 4 12 3 19" xfId="2461"/>
    <cellStyle name="Обычный 4 12 3 2" xfId="2462"/>
    <cellStyle name="Обычный 4 12 3 2 2" xfId="2463"/>
    <cellStyle name="Обычный 4 12 3 3" xfId="2464"/>
    <cellStyle name="Обычный 4 12 3 3 2" xfId="2465"/>
    <cellStyle name="Обычный 4 12 3 4" xfId="2466"/>
    <cellStyle name="Обычный 4 12 3 4 2" xfId="2467"/>
    <cellStyle name="Обычный 4 12 3 5" xfId="2468"/>
    <cellStyle name="Обычный 4 12 3 5 2" xfId="2469"/>
    <cellStyle name="Обычный 4 12 3 6" xfId="2470"/>
    <cellStyle name="Обычный 4 12 3 6 2" xfId="2471"/>
    <cellStyle name="Обычный 4 12 3 7" xfId="2472"/>
    <cellStyle name="Обычный 4 12 3 7 2" xfId="2473"/>
    <cellStyle name="Обычный 4 12 3 8" xfId="2474"/>
    <cellStyle name="Обычный 4 12 3 8 2" xfId="2475"/>
    <cellStyle name="Обычный 4 12 3 9" xfId="2476"/>
    <cellStyle name="Обычный 4 12 3 9 2" xfId="2477"/>
    <cellStyle name="Обычный 4 12 4" xfId="2478"/>
    <cellStyle name="Обычный 4 12 4 2" xfId="2479"/>
    <cellStyle name="Обычный 4 12 5" xfId="2480"/>
    <cellStyle name="Обычный 4 12 5 2" xfId="2481"/>
    <cellStyle name="Обычный 4 12 6" xfId="2482"/>
    <cellStyle name="Обычный 4 12 6 2" xfId="2483"/>
    <cellStyle name="Обычный 4 12 7" xfId="2484"/>
    <cellStyle name="Обычный 4 12 7 2" xfId="2485"/>
    <cellStyle name="Обычный 4 12 8" xfId="2486"/>
    <cellStyle name="Обычный 4 12 8 2" xfId="2487"/>
    <cellStyle name="Обычный 4 12 9" xfId="2488"/>
    <cellStyle name="Обычный 4 12 9 2" xfId="2489"/>
    <cellStyle name="Обычный 4 13" xfId="2490"/>
    <cellStyle name="Обычный 4 13 10" xfId="2491"/>
    <cellStyle name="Обычный 4 13 10 2" xfId="2492"/>
    <cellStyle name="Обычный 4 13 11" xfId="2493"/>
    <cellStyle name="Обычный 4 13 11 2" xfId="2494"/>
    <cellStyle name="Обычный 4 13 12" xfId="2495"/>
    <cellStyle name="Обычный 4 13 12 2" xfId="2496"/>
    <cellStyle name="Обычный 4 13 13" xfId="2497"/>
    <cellStyle name="Обычный 4 13 13 2" xfId="2498"/>
    <cellStyle name="Обычный 4 13 14" xfId="2499"/>
    <cellStyle name="Обычный 4 13 14 2" xfId="2500"/>
    <cellStyle name="Обычный 4 13 15" xfId="2501"/>
    <cellStyle name="Обычный 4 13 15 2" xfId="2502"/>
    <cellStyle name="Обычный 4 13 16" xfId="2503"/>
    <cellStyle name="Обычный 4 13 16 2" xfId="2504"/>
    <cellStyle name="Обычный 4 13 17" xfId="2505"/>
    <cellStyle name="Обычный 4 13 17 2" xfId="2506"/>
    <cellStyle name="Обычный 4 13 18" xfId="2507"/>
    <cellStyle name="Обычный 4 13 18 2" xfId="2508"/>
    <cellStyle name="Обычный 4 13 19" xfId="2509"/>
    <cellStyle name="Обычный 4 13 2" xfId="2510"/>
    <cellStyle name="Обычный 4 13 2 10" xfId="2511"/>
    <cellStyle name="Обычный 4 13 2 10 2" xfId="2512"/>
    <cellStyle name="Обычный 4 13 2 11" xfId="2513"/>
    <cellStyle name="Обычный 4 13 2 11 2" xfId="2514"/>
    <cellStyle name="Обычный 4 13 2 12" xfId="2515"/>
    <cellStyle name="Обычный 4 13 2 12 2" xfId="2516"/>
    <cellStyle name="Обычный 4 13 2 13" xfId="2517"/>
    <cellStyle name="Обычный 4 13 2 13 2" xfId="2518"/>
    <cellStyle name="Обычный 4 13 2 14" xfId="2519"/>
    <cellStyle name="Обычный 4 13 2 14 2" xfId="2520"/>
    <cellStyle name="Обычный 4 13 2 15" xfId="2521"/>
    <cellStyle name="Обычный 4 13 2 15 2" xfId="2522"/>
    <cellStyle name="Обычный 4 13 2 16" xfId="2523"/>
    <cellStyle name="Обычный 4 13 2 16 2" xfId="2524"/>
    <cellStyle name="Обычный 4 13 2 17" xfId="2525"/>
    <cellStyle name="Обычный 4 13 2 18" xfId="2526"/>
    <cellStyle name="Обычный 4 13 2 19" xfId="2527"/>
    <cellStyle name="Обычный 4 13 2 2" xfId="2528"/>
    <cellStyle name="Обычный 4 13 2 2 2" xfId="2529"/>
    <cellStyle name="Обычный 4 13 2 20" xfId="2530"/>
    <cellStyle name="Обычный 4 13 2 3" xfId="2531"/>
    <cellStyle name="Обычный 4 13 2 3 2" xfId="2532"/>
    <cellStyle name="Обычный 4 13 2 4" xfId="2533"/>
    <cellStyle name="Обычный 4 13 2 4 2" xfId="2534"/>
    <cellStyle name="Обычный 4 13 2 5" xfId="2535"/>
    <cellStyle name="Обычный 4 13 2 5 2" xfId="2536"/>
    <cellStyle name="Обычный 4 13 2 6" xfId="2537"/>
    <cellStyle name="Обычный 4 13 2 6 2" xfId="2538"/>
    <cellStyle name="Обычный 4 13 2 7" xfId="2539"/>
    <cellStyle name="Обычный 4 13 2 7 2" xfId="2540"/>
    <cellStyle name="Обычный 4 13 2 8" xfId="2541"/>
    <cellStyle name="Обычный 4 13 2 8 2" xfId="2542"/>
    <cellStyle name="Обычный 4 13 2 9" xfId="2543"/>
    <cellStyle name="Обычный 4 13 2 9 2" xfId="2544"/>
    <cellStyle name="Обычный 4 13 20" xfId="2545"/>
    <cellStyle name="Обычный 4 13 21" xfId="2546"/>
    <cellStyle name="Обычный 4 13 3" xfId="2547"/>
    <cellStyle name="Обычный 4 13 3 10" xfId="2548"/>
    <cellStyle name="Обычный 4 13 3 10 2" xfId="2549"/>
    <cellStyle name="Обычный 4 13 3 11" xfId="2550"/>
    <cellStyle name="Обычный 4 13 3 11 2" xfId="2551"/>
    <cellStyle name="Обычный 4 13 3 12" xfId="2552"/>
    <cellStyle name="Обычный 4 13 3 12 2" xfId="2553"/>
    <cellStyle name="Обычный 4 13 3 13" xfId="2554"/>
    <cellStyle name="Обычный 4 13 3 13 2" xfId="2555"/>
    <cellStyle name="Обычный 4 13 3 14" xfId="2556"/>
    <cellStyle name="Обычный 4 13 3 14 2" xfId="2557"/>
    <cellStyle name="Обычный 4 13 3 15" xfId="2558"/>
    <cellStyle name="Обычный 4 13 3 15 2" xfId="2559"/>
    <cellStyle name="Обычный 4 13 3 16" xfId="2560"/>
    <cellStyle name="Обычный 4 13 3 16 2" xfId="2561"/>
    <cellStyle name="Обычный 4 13 3 17" xfId="2562"/>
    <cellStyle name="Обычный 4 13 3 18" xfId="2563"/>
    <cellStyle name="Обычный 4 13 3 19" xfId="2564"/>
    <cellStyle name="Обычный 4 13 3 2" xfId="2565"/>
    <cellStyle name="Обычный 4 13 3 2 2" xfId="2566"/>
    <cellStyle name="Обычный 4 13 3 3" xfId="2567"/>
    <cellStyle name="Обычный 4 13 3 3 2" xfId="2568"/>
    <cellStyle name="Обычный 4 13 3 4" xfId="2569"/>
    <cellStyle name="Обычный 4 13 3 4 2" xfId="2570"/>
    <cellStyle name="Обычный 4 13 3 5" xfId="2571"/>
    <cellStyle name="Обычный 4 13 3 5 2" xfId="2572"/>
    <cellStyle name="Обычный 4 13 3 6" xfId="2573"/>
    <cellStyle name="Обычный 4 13 3 6 2" xfId="2574"/>
    <cellStyle name="Обычный 4 13 3 7" xfId="2575"/>
    <cellStyle name="Обычный 4 13 3 7 2" xfId="2576"/>
    <cellStyle name="Обычный 4 13 3 8" xfId="2577"/>
    <cellStyle name="Обычный 4 13 3 8 2" xfId="2578"/>
    <cellStyle name="Обычный 4 13 3 9" xfId="2579"/>
    <cellStyle name="Обычный 4 13 3 9 2" xfId="2580"/>
    <cellStyle name="Обычный 4 13 4" xfId="2581"/>
    <cellStyle name="Обычный 4 13 4 2" xfId="2582"/>
    <cellStyle name="Обычный 4 13 5" xfId="2583"/>
    <cellStyle name="Обычный 4 13 5 2" xfId="2584"/>
    <cellStyle name="Обычный 4 13 6" xfId="2585"/>
    <cellStyle name="Обычный 4 13 6 2" xfId="2586"/>
    <cellStyle name="Обычный 4 13 7" xfId="2587"/>
    <cellStyle name="Обычный 4 13 7 2" xfId="2588"/>
    <cellStyle name="Обычный 4 13 8" xfId="2589"/>
    <cellStyle name="Обычный 4 13 8 2" xfId="2590"/>
    <cellStyle name="Обычный 4 13 9" xfId="2591"/>
    <cellStyle name="Обычный 4 13 9 2" xfId="2592"/>
    <cellStyle name="Обычный 4 14" xfId="2593"/>
    <cellStyle name="Обычный 4 14 10" xfId="2594"/>
    <cellStyle name="Обычный 4 14 10 2" xfId="2595"/>
    <cellStyle name="Обычный 4 14 11" xfId="2596"/>
    <cellStyle name="Обычный 4 14 11 2" xfId="2597"/>
    <cellStyle name="Обычный 4 14 12" xfId="2598"/>
    <cellStyle name="Обычный 4 14 12 2" xfId="2599"/>
    <cellStyle name="Обычный 4 14 13" xfId="2600"/>
    <cellStyle name="Обычный 4 14 13 2" xfId="2601"/>
    <cellStyle name="Обычный 4 14 14" xfId="2602"/>
    <cellStyle name="Обычный 4 14 14 2" xfId="2603"/>
    <cellStyle name="Обычный 4 14 15" xfId="2604"/>
    <cellStyle name="Обычный 4 14 15 2" xfId="2605"/>
    <cellStyle name="Обычный 4 14 16" xfId="2606"/>
    <cellStyle name="Обычный 4 14 16 2" xfId="2607"/>
    <cellStyle name="Обычный 4 14 17" xfId="2608"/>
    <cellStyle name="Обычный 4 14 17 2" xfId="2609"/>
    <cellStyle name="Обычный 4 14 18" xfId="2610"/>
    <cellStyle name="Обычный 4 14 18 2" xfId="2611"/>
    <cellStyle name="Обычный 4 14 19" xfId="2612"/>
    <cellStyle name="Обычный 4 14 2" xfId="2613"/>
    <cellStyle name="Обычный 4 14 2 10" xfId="2614"/>
    <cellStyle name="Обычный 4 14 2 10 2" xfId="2615"/>
    <cellStyle name="Обычный 4 14 2 11" xfId="2616"/>
    <cellStyle name="Обычный 4 14 2 11 2" xfId="2617"/>
    <cellStyle name="Обычный 4 14 2 12" xfId="2618"/>
    <cellStyle name="Обычный 4 14 2 12 2" xfId="2619"/>
    <cellStyle name="Обычный 4 14 2 13" xfId="2620"/>
    <cellStyle name="Обычный 4 14 2 13 2" xfId="2621"/>
    <cellStyle name="Обычный 4 14 2 14" xfId="2622"/>
    <cellStyle name="Обычный 4 14 2 14 2" xfId="2623"/>
    <cellStyle name="Обычный 4 14 2 15" xfId="2624"/>
    <cellStyle name="Обычный 4 14 2 15 2" xfId="2625"/>
    <cellStyle name="Обычный 4 14 2 16" xfId="2626"/>
    <cellStyle name="Обычный 4 14 2 16 2" xfId="2627"/>
    <cellStyle name="Обычный 4 14 2 17" xfId="2628"/>
    <cellStyle name="Обычный 4 14 2 18" xfId="2629"/>
    <cellStyle name="Обычный 4 14 2 19" xfId="2630"/>
    <cellStyle name="Обычный 4 14 2 2" xfId="2631"/>
    <cellStyle name="Обычный 4 14 2 2 2" xfId="2632"/>
    <cellStyle name="Обычный 4 14 2 20" xfId="2633"/>
    <cellStyle name="Обычный 4 14 2 3" xfId="2634"/>
    <cellStyle name="Обычный 4 14 2 3 2" xfId="2635"/>
    <cellStyle name="Обычный 4 14 2 4" xfId="2636"/>
    <cellStyle name="Обычный 4 14 2 4 2" xfId="2637"/>
    <cellStyle name="Обычный 4 14 2 5" xfId="2638"/>
    <cellStyle name="Обычный 4 14 2 5 2" xfId="2639"/>
    <cellStyle name="Обычный 4 14 2 6" xfId="2640"/>
    <cellStyle name="Обычный 4 14 2 6 2" xfId="2641"/>
    <cellStyle name="Обычный 4 14 2 7" xfId="2642"/>
    <cellStyle name="Обычный 4 14 2 7 2" xfId="2643"/>
    <cellStyle name="Обычный 4 14 2 8" xfId="2644"/>
    <cellStyle name="Обычный 4 14 2 8 2" xfId="2645"/>
    <cellStyle name="Обычный 4 14 2 9" xfId="2646"/>
    <cellStyle name="Обычный 4 14 2 9 2" xfId="2647"/>
    <cellStyle name="Обычный 4 14 20" xfId="2648"/>
    <cellStyle name="Обычный 4 14 21" xfId="2649"/>
    <cellStyle name="Обычный 4 14 3" xfId="2650"/>
    <cellStyle name="Обычный 4 14 3 10" xfId="2651"/>
    <cellStyle name="Обычный 4 14 3 10 2" xfId="2652"/>
    <cellStyle name="Обычный 4 14 3 11" xfId="2653"/>
    <cellStyle name="Обычный 4 14 3 11 2" xfId="2654"/>
    <cellStyle name="Обычный 4 14 3 12" xfId="2655"/>
    <cellStyle name="Обычный 4 14 3 12 2" xfId="2656"/>
    <cellStyle name="Обычный 4 14 3 13" xfId="2657"/>
    <cellStyle name="Обычный 4 14 3 13 2" xfId="2658"/>
    <cellStyle name="Обычный 4 14 3 14" xfId="2659"/>
    <cellStyle name="Обычный 4 14 3 14 2" xfId="2660"/>
    <cellStyle name="Обычный 4 14 3 15" xfId="2661"/>
    <cellStyle name="Обычный 4 14 3 15 2" xfId="2662"/>
    <cellStyle name="Обычный 4 14 3 16" xfId="2663"/>
    <cellStyle name="Обычный 4 14 3 16 2" xfId="2664"/>
    <cellStyle name="Обычный 4 14 3 17" xfId="2665"/>
    <cellStyle name="Обычный 4 14 3 18" xfId="2666"/>
    <cellStyle name="Обычный 4 14 3 19" xfId="2667"/>
    <cellStyle name="Обычный 4 14 3 2" xfId="2668"/>
    <cellStyle name="Обычный 4 14 3 2 2" xfId="2669"/>
    <cellStyle name="Обычный 4 14 3 3" xfId="2670"/>
    <cellStyle name="Обычный 4 14 3 3 2" xfId="2671"/>
    <cellStyle name="Обычный 4 14 3 4" xfId="2672"/>
    <cellStyle name="Обычный 4 14 3 4 2" xfId="2673"/>
    <cellStyle name="Обычный 4 14 3 5" xfId="2674"/>
    <cellStyle name="Обычный 4 14 3 5 2" xfId="2675"/>
    <cellStyle name="Обычный 4 14 3 6" xfId="2676"/>
    <cellStyle name="Обычный 4 14 3 6 2" xfId="2677"/>
    <cellStyle name="Обычный 4 14 3 7" xfId="2678"/>
    <cellStyle name="Обычный 4 14 3 7 2" xfId="2679"/>
    <cellStyle name="Обычный 4 14 3 8" xfId="2680"/>
    <cellStyle name="Обычный 4 14 3 8 2" xfId="2681"/>
    <cellStyle name="Обычный 4 14 3 9" xfId="2682"/>
    <cellStyle name="Обычный 4 14 3 9 2" xfId="2683"/>
    <cellStyle name="Обычный 4 14 4" xfId="2684"/>
    <cellStyle name="Обычный 4 14 4 2" xfId="2685"/>
    <cellStyle name="Обычный 4 14 5" xfId="2686"/>
    <cellStyle name="Обычный 4 14 5 2" xfId="2687"/>
    <cellStyle name="Обычный 4 14 6" xfId="2688"/>
    <cellStyle name="Обычный 4 14 6 2" xfId="2689"/>
    <cellStyle name="Обычный 4 14 7" xfId="2690"/>
    <cellStyle name="Обычный 4 14 7 2" xfId="2691"/>
    <cellStyle name="Обычный 4 14 8" xfId="2692"/>
    <cellStyle name="Обычный 4 14 8 2" xfId="2693"/>
    <cellStyle name="Обычный 4 14 9" xfId="2694"/>
    <cellStyle name="Обычный 4 14 9 2" xfId="2695"/>
    <cellStyle name="Обычный 4 15" xfId="2696"/>
    <cellStyle name="Обычный 4 15 10" xfId="2697"/>
    <cellStyle name="Обычный 4 15 10 2" xfId="2698"/>
    <cellStyle name="Обычный 4 15 11" xfId="2699"/>
    <cellStyle name="Обычный 4 15 11 2" xfId="2700"/>
    <cellStyle name="Обычный 4 15 12" xfId="2701"/>
    <cellStyle name="Обычный 4 15 12 2" xfId="2702"/>
    <cellStyle name="Обычный 4 15 13" xfId="2703"/>
    <cellStyle name="Обычный 4 15 13 2" xfId="2704"/>
    <cellStyle name="Обычный 4 15 14" xfId="2705"/>
    <cellStyle name="Обычный 4 15 14 2" xfId="2706"/>
    <cellStyle name="Обычный 4 15 15" xfId="2707"/>
    <cellStyle name="Обычный 4 15 15 2" xfId="2708"/>
    <cellStyle name="Обычный 4 15 16" xfId="2709"/>
    <cellStyle name="Обычный 4 15 16 2" xfId="2710"/>
    <cellStyle name="Обычный 4 15 17" xfId="2711"/>
    <cellStyle name="Обычный 4 15 17 2" xfId="2712"/>
    <cellStyle name="Обычный 4 15 18" xfId="2713"/>
    <cellStyle name="Обычный 4 15 18 2" xfId="2714"/>
    <cellStyle name="Обычный 4 15 19" xfId="2715"/>
    <cellStyle name="Обычный 4 15 2" xfId="2716"/>
    <cellStyle name="Обычный 4 15 2 10" xfId="2717"/>
    <cellStyle name="Обычный 4 15 2 10 2" xfId="2718"/>
    <cellStyle name="Обычный 4 15 2 11" xfId="2719"/>
    <cellStyle name="Обычный 4 15 2 11 2" xfId="2720"/>
    <cellStyle name="Обычный 4 15 2 12" xfId="2721"/>
    <cellStyle name="Обычный 4 15 2 12 2" xfId="2722"/>
    <cellStyle name="Обычный 4 15 2 13" xfId="2723"/>
    <cellStyle name="Обычный 4 15 2 13 2" xfId="2724"/>
    <cellStyle name="Обычный 4 15 2 14" xfId="2725"/>
    <cellStyle name="Обычный 4 15 2 14 2" xfId="2726"/>
    <cellStyle name="Обычный 4 15 2 15" xfId="2727"/>
    <cellStyle name="Обычный 4 15 2 15 2" xfId="2728"/>
    <cellStyle name="Обычный 4 15 2 16" xfId="2729"/>
    <cellStyle name="Обычный 4 15 2 16 2" xfId="2730"/>
    <cellStyle name="Обычный 4 15 2 17" xfId="2731"/>
    <cellStyle name="Обычный 4 15 2 18" xfId="2732"/>
    <cellStyle name="Обычный 4 15 2 19" xfId="2733"/>
    <cellStyle name="Обычный 4 15 2 2" xfId="2734"/>
    <cellStyle name="Обычный 4 15 2 2 2" xfId="2735"/>
    <cellStyle name="Обычный 4 15 2 20" xfId="2736"/>
    <cellStyle name="Обычный 4 15 2 3" xfId="2737"/>
    <cellStyle name="Обычный 4 15 2 3 2" xfId="2738"/>
    <cellStyle name="Обычный 4 15 2 4" xfId="2739"/>
    <cellStyle name="Обычный 4 15 2 4 2" xfId="2740"/>
    <cellStyle name="Обычный 4 15 2 5" xfId="2741"/>
    <cellStyle name="Обычный 4 15 2 5 2" xfId="2742"/>
    <cellStyle name="Обычный 4 15 2 6" xfId="2743"/>
    <cellStyle name="Обычный 4 15 2 6 2" xfId="2744"/>
    <cellStyle name="Обычный 4 15 2 7" xfId="2745"/>
    <cellStyle name="Обычный 4 15 2 7 2" xfId="2746"/>
    <cellStyle name="Обычный 4 15 2 8" xfId="2747"/>
    <cellStyle name="Обычный 4 15 2 8 2" xfId="2748"/>
    <cellStyle name="Обычный 4 15 2 9" xfId="2749"/>
    <cellStyle name="Обычный 4 15 2 9 2" xfId="2750"/>
    <cellStyle name="Обычный 4 15 20" xfId="2751"/>
    <cellStyle name="Обычный 4 15 21" xfId="2752"/>
    <cellStyle name="Обычный 4 15 3" xfId="2753"/>
    <cellStyle name="Обычный 4 15 3 10" xfId="2754"/>
    <cellStyle name="Обычный 4 15 3 10 2" xfId="2755"/>
    <cellStyle name="Обычный 4 15 3 11" xfId="2756"/>
    <cellStyle name="Обычный 4 15 3 11 2" xfId="2757"/>
    <cellStyle name="Обычный 4 15 3 12" xfId="2758"/>
    <cellStyle name="Обычный 4 15 3 12 2" xfId="2759"/>
    <cellStyle name="Обычный 4 15 3 13" xfId="2760"/>
    <cellStyle name="Обычный 4 15 3 13 2" xfId="2761"/>
    <cellStyle name="Обычный 4 15 3 14" xfId="2762"/>
    <cellStyle name="Обычный 4 15 3 14 2" xfId="2763"/>
    <cellStyle name="Обычный 4 15 3 15" xfId="2764"/>
    <cellStyle name="Обычный 4 15 3 15 2" xfId="2765"/>
    <cellStyle name="Обычный 4 15 3 16" xfId="2766"/>
    <cellStyle name="Обычный 4 15 3 16 2" xfId="2767"/>
    <cellStyle name="Обычный 4 15 3 17" xfId="2768"/>
    <cellStyle name="Обычный 4 15 3 18" xfId="2769"/>
    <cellStyle name="Обычный 4 15 3 19" xfId="2770"/>
    <cellStyle name="Обычный 4 15 3 2" xfId="2771"/>
    <cellStyle name="Обычный 4 15 3 2 2" xfId="2772"/>
    <cellStyle name="Обычный 4 15 3 3" xfId="2773"/>
    <cellStyle name="Обычный 4 15 3 3 2" xfId="2774"/>
    <cellStyle name="Обычный 4 15 3 4" xfId="2775"/>
    <cellStyle name="Обычный 4 15 3 4 2" xfId="2776"/>
    <cellStyle name="Обычный 4 15 3 5" xfId="2777"/>
    <cellStyle name="Обычный 4 15 3 5 2" xfId="2778"/>
    <cellStyle name="Обычный 4 15 3 6" xfId="2779"/>
    <cellStyle name="Обычный 4 15 3 6 2" xfId="2780"/>
    <cellStyle name="Обычный 4 15 3 7" xfId="2781"/>
    <cellStyle name="Обычный 4 15 3 7 2" xfId="2782"/>
    <cellStyle name="Обычный 4 15 3 8" xfId="2783"/>
    <cellStyle name="Обычный 4 15 3 8 2" xfId="2784"/>
    <cellStyle name="Обычный 4 15 3 9" xfId="2785"/>
    <cellStyle name="Обычный 4 15 3 9 2" xfId="2786"/>
    <cellStyle name="Обычный 4 15 4" xfId="2787"/>
    <cellStyle name="Обычный 4 15 4 2" xfId="2788"/>
    <cellStyle name="Обычный 4 15 5" xfId="2789"/>
    <cellStyle name="Обычный 4 15 5 2" xfId="2790"/>
    <cellStyle name="Обычный 4 15 6" xfId="2791"/>
    <cellStyle name="Обычный 4 15 6 2" xfId="2792"/>
    <cellStyle name="Обычный 4 15 7" xfId="2793"/>
    <cellStyle name="Обычный 4 15 7 2" xfId="2794"/>
    <cellStyle name="Обычный 4 15 8" xfId="2795"/>
    <cellStyle name="Обычный 4 15 8 2" xfId="2796"/>
    <cellStyle name="Обычный 4 15 9" xfId="2797"/>
    <cellStyle name="Обычный 4 15 9 2" xfId="2798"/>
    <cellStyle name="Обычный 4 16" xfId="2799"/>
    <cellStyle name="Обычный 4 16 10" xfId="2800"/>
    <cellStyle name="Обычный 4 16 10 2" xfId="2801"/>
    <cellStyle name="Обычный 4 16 11" xfId="2802"/>
    <cellStyle name="Обычный 4 16 11 2" xfId="2803"/>
    <cellStyle name="Обычный 4 16 12" xfId="2804"/>
    <cellStyle name="Обычный 4 16 12 2" xfId="2805"/>
    <cellStyle name="Обычный 4 16 13" xfId="2806"/>
    <cellStyle name="Обычный 4 16 13 2" xfId="2807"/>
    <cellStyle name="Обычный 4 16 14" xfId="2808"/>
    <cellStyle name="Обычный 4 16 14 2" xfId="2809"/>
    <cellStyle name="Обычный 4 16 15" xfId="2810"/>
    <cellStyle name="Обычный 4 16 15 2" xfId="2811"/>
    <cellStyle name="Обычный 4 16 16" xfId="2812"/>
    <cellStyle name="Обычный 4 16 16 2" xfId="2813"/>
    <cellStyle name="Обычный 4 16 17" xfId="2814"/>
    <cellStyle name="Обычный 4 16 17 2" xfId="2815"/>
    <cellStyle name="Обычный 4 16 18" xfId="2816"/>
    <cellStyle name="Обычный 4 16 18 2" xfId="2817"/>
    <cellStyle name="Обычный 4 16 19" xfId="2818"/>
    <cellStyle name="Обычный 4 16 2" xfId="2819"/>
    <cellStyle name="Обычный 4 16 2 10" xfId="2820"/>
    <cellStyle name="Обычный 4 16 2 10 2" xfId="2821"/>
    <cellStyle name="Обычный 4 16 2 11" xfId="2822"/>
    <cellStyle name="Обычный 4 16 2 11 2" xfId="2823"/>
    <cellStyle name="Обычный 4 16 2 12" xfId="2824"/>
    <cellStyle name="Обычный 4 16 2 12 2" xfId="2825"/>
    <cellStyle name="Обычный 4 16 2 13" xfId="2826"/>
    <cellStyle name="Обычный 4 16 2 13 2" xfId="2827"/>
    <cellStyle name="Обычный 4 16 2 14" xfId="2828"/>
    <cellStyle name="Обычный 4 16 2 14 2" xfId="2829"/>
    <cellStyle name="Обычный 4 16 2 15" xfId="2830"/>
    <cellStyle name="Обычный 4 16 2 15 2" xfId="2831"/>
    <cellStyle name="Обычный 4 16 2 16" xfId="2832"/>
    <cellStyle name="Обычный 4 16 2 16 2" xfId="2833"/>
    <cellStyle name="Обычный 4 16 2 17" xfId="2834"/>
    <cellStyle name="Обычный 4 16 2 18" xfId="2835"/>
    <cellStyle name="Обычный 4 16 2 19" xfId="2836"/>
    <cellStyle name="Обычный 4 16 2 2" xfId="2837"/>
    <cellStyle name="Обычный 4 16 2 2 2" xfId="2838"/>
    <cellStyle name="Обычный 4 16 2 20" xfId="2839"/>
    <cellStyle name="Обычный 4 16 2 3" xfId="2840"/>
    <cellStyle name="Обычный 4 16 2 3 2" xfId="2841"/>
    <cellStyle name="Обычный 4 16 2 4" xfId="2842"/>
    <cellStyle name="Обычный 4 16 2 4 2" xfId="2843"/>
    <cellStyle name="Обычный 4 16 2 5" xfId="2844"/>
    <cellStyle name="Обычный 4 16 2 5 2" xfId="2845"/>
    <cellStyle name="Обычный 4 16 2 6" xfId="2846"/>
    <cellStyle name="Обычный 4 16 2 6 2" xfId="2847"/>
    <cellStyle name="Обычный 4 16 2 7" xfId="2848"/>
    <cellStyle name="Обычный 4 16 2 7 2" xfId="2849"/>
    <cellStyle name="Обычный 4 16 2 8" xfId="2850"/>
    <cellStyle name="Обычный 4 16 2 8 2" xfId="2851"/>
    <cellStyle name="Обычный 4 16 2 9" xfId="2852"/>
    <cellStyle name="Обычный 4 16 2 9 2" xfId="2853"/>
    <cellStyle name="Обычный 4 16 20" xfId="2854"/>
    <cellStyle name="Обычный 4 16 21" xfId="2855"/>
    <cellStyle name="Обычный 4 16 3" xfId="2856"/>
    <cellStyle name="Обычный 4 16 3 10" xfId="2857"/>
    <cellStyle name="Обычный 4 16 3 10 2" xfId="2858"/>
    <cellStyle name="Обычный 4 16 3 11" xfId="2859"/>
    <cellStyle name="Обычный 4 16 3 11 2" xfId="2860"/>
    <cellStyle name="Обычный 4 16 3 12" xfId="2861"/>
    <cellStyle name="Обычный 4 16 3 12 2" xfId="2862"/>
    <cellStyle name="Обычный 4 16 3 13" xfId="2863"/>
    <cellStyle name="Обычный 4 16 3 13 2" xfId="2864"/>
    <cellStyle name="Обычный 4 16 3 14" xfId="2865"/>
    <cellStyle name="Обычный 4 16 3 14 2" xfId="2866"/>
    <cellStyle name="Обычный 4 16 3 15" xfId="2867"/>
    <cellStyle name="Обычный 4 16 3 15 2" xfId="2868"/>
    <cellStyle name="Обычный 4 16 3 16" xfId="2869"/>
    <cellStyle name="Обычный 4 16 3 16 2" xfId="2870"/>
    <cellStyle name="Обычный 4 16 3 17" xfId="2871"/>
    <cellStyle name="Обычный 4 16 3 18" xfId="2872"/>
    <cellStyle name="Обычный 4 16 3 19" xfId="2873"/>
    <cellStyle name="Обычный 4 16 3 2" xfId="2874"/>
    <cellStyle name="Обычный 4 16 3 2 2" xfId="2875"/>
    <cellStyle name="Обычный 4 16 3 3" xfId="2876"/>
    <cellStyle name="Обычный 4 16 3 3 2" xfId="2877"/>
    <cellStyle name="Обычный 4 16 3 4" xfId="2878"/>
    <cellStyle name="Обычный 4 16 3 4 2" xfId="2879"/>
    <cellStyle name="Обычный 4 16 3 5" xfId="2880"/>
    <cellStyle name="Обычный 4 16 3 5 2" xfId="2881"/>
    <cellStyle name="Обычный 4 16 3 6" xfId="2882"/>
    <cellStyle name="Обычный 4 16 3 6 2" xfId="2883"/>
    <cellStyle name="Обычный 4 16 3 7" xfId="2884"/>
    <cellStyle name="Обычный 4 16 3 7 2" xfId="2885"/>
    <cellStyle name="Обычный 4 16 3 8" xfId="2886"/>
    <cellStyle name="Обычный 4 16 3 8 2" xfId="2887"/>
    <cellStyle name="Обычный 4 16 3 9" xfId="2888"/>
    <cellStyle name="Обычный 4 16 3 9 2" xfId="2889"/>
    <cellStyle name="Обычный 4 16 4" xfId="2890"/>
    <cellStyle name="Обычный 4 16 4 2" xfId="2891"/>
    <cellStyle name="Обычный 4 16 5" xfId="2892"/>
    <cellStyle name="Обычный 4 16 5 2" xfId="2893"/>
    <cellStyle name="Обычный 4 16 6" xfId="2894"/>
    <cellStyle name="Обычный 4 16 6 2" xfId="2895"/>
    <cellStyle name="Обычный 4 16 7" xfId="2896"/>
    <cellStyle name="Обычный 4 16 7 2" xfId="2897"/>
    <cellStyle name="Обычный 4 16 8" xfId="2898"/>
    <cellStyle name="Обычный 4 16 8 2" xfId="2899"/>
    <cellStyle name="Обычный 4 16 9" xfId="2900"/>
    <cellStyle name="Обычный 4 16 9 2" xfId="2901"/>
    <cellStyle name="Обычный 4 17" xfId="2902"/>
    <cellStyle name="Обычный 4 17 10" xfId="2903"/>
    <cellStyle name="Обычный 4 17 10 2" xfId="2904"/>
    <cellStyle name="Обычный 4 17 11" xfId="2905"/>
    <cellStyle name="Обычный 4 17 11 2" xfId="2906"/>
    <cellStyle name="Обычный 4 17 12" xfId="2907"/>
    <cellStyle name="Обычный 4 17 12 2" xfId="2908"/>
    <cellStyle name="Обычный 4 17 13" xfId="2909"/>
    <cellStyle name="Обычный 4 17 13 2" xfId="2910"/>
    <cellStyle name="Обычный 4 17 14" xfId="2911"/>
    <cellStyle name="Обычный 4 17 14 2" xfId="2912"/>
    <cellStyle name="Обычный 4 17 15" xfId="2913"/>
    <cellStyle name="Обычный 4 17 15 2" xfId="2914"/>
    <cellStyle name="Обычный 4 17 16" xfId="2915"/>
    <cellStyle name="Обычный 4 17 16 2" xfId="2916"/>
    <cellStyle name="Обычный 4 17 17" xfId="2917"/>
    <cellStyle name="Обычный 4 17 17 2" xfId="2918"/>
    <cellStyle name="Обычный 4 17 18" xfId="2919"/>
    <cellStyle name="Обычный 4 17 18 2" xfId="2920"/>
    <cellStyle name="Обычный 4 17 19" xfId="2921"/>
    <cellStyle name="Обычный 4 17 2" xfId="2922"/>
    <cellStyle name="Обычный 4 17 2 10" xfId="2923"/>
    <cellStyle name="Обычный 4 17 2 10 2" xfId="2924"/>
    <cellStyle name="Обычный 4 17 2 11" xfId="2925"/>
    <cellStyle name="Обычный 4 17 2 11 2" xfId="2926"/>
    <cellStyle name="Обычный 4 17 2 12" xfId="2927"/>
    <cellStyle name="Обычный 4 17 2 12 2" xfId="2928"/>
    <cellStyle name="Обычный 4 17 2 13" xfId="2929"/>
    <cellStyle name="Обычный 4 17 2 13 2" xfId="2930"/>
    <cellStyle name="Обычный 4 17 2 14" xfId="2931"/>
    <cellStyle name="Обычный 4 17 2 14 2" xfId="2932"/>
    <cellStyle name="Обычный 4 17 2 15" xfId="2933"/>
    <cellStyle name="Обычный 4 17 2 15 2" xfId="2934"/>
    <cellStyle name="Обычный 4 17 2 16" xfId="2935"/>
    <cellStyle name="Обычный 4 17 2 16 2" xfId="2936"/>
    <cellStyle name="Обычный 4 17 2 17" xfId="2937"/>
    <cellStyle name="Обычный 4 17 2 18" xfId="2938"/>
    <cellStyle name="Обычный 4 17 2 19" xfId="2939"/>
    <cellStyle name="Обычный 4 17 2 2" xfId="2940"/>
    <cellStyle name="Обычный 4 17 2 2 2" xfId="2941"/>
    <cellStyle name="Обычный 4 17 2 20" xfId="2942"/>
    <cellStyle name="Обычный 4 17 2 3" xfId="2943"/>
    <cellStyle name="Обычный 4 17 2 3 2" xfId="2944"/>
    <cellStyle name="Обычный 4 17 2 4" xfId="2945"/>
    <cellStyle name="Обычный 4 17 2 4 2" xfId="2946"/>
    <cellStyle name="Обычный 4 17 2 5" xfId="2947"/>
    <cellStyle name="Обычный 4 17 2 5 2" xfId="2948"/>
    <cellStyle name="Обычный 4 17 2 6" xfId="2949"/>
    <cellStyle name="Обычный 4 17 2 6 2" xfId="2950"/>
    <cellStyle name="Обычный 4 17 2 7" xfId="2951"/>
    <cellStyle name="Обычный 4 17 2 7 2" xfId="2952"/>
    <cellStyle name="Обычный 4 17 2 8" xfId="2953"/>
    <cellStyle name="Обычный 4 17 2 8 2" xfId="2954"/>
    <cellStyle name="Обычный 4 17 2 9" xfId="2955"/>
    <cellStyle name="Обычный 4 17 2 9 2" xfId="2956"/>
    <cellStyle name="Обычный 4 17 20" xfId="2957"/>
    <cellStyle name="Обычный 4 17 21" xfId="2958"/>
    <cellStyle name="Обычный 4 17 3" xfId="2959"/>
    <cellStyle name="Обычный 4 17 3 10" xfId="2960"/>
    <cellStyle name="Обычный 4 17 3 10 2" xfId="2961"/>
    <cellStyle name="Обычный 4 17 3 11" xfId="2962"/>
    <cellStyle name="Обычный 4 17 3 11 2" xfId="2963"/>
    <cellStyle name="Обычный 4 17 3 12" xfId="2964"/>
    <cellStyle name="Обычный 4 17 3 12 2" xfId="2965"/>
    <cellStyle name="Обычный 4 17 3 13" xfId="2966"/>
    <cellStyle name="Обычный 4 17 3 13 2" xfId="2967"/>
    <cellStyle name="Обычный 4 17 3 14" xfId="2968"/>
    <cellStyle name="Обычный 4 17 3 14 2" xfId="2969"/>
    <cellStyle name="Обычный 4 17 3 15" xfId="2970"/>
    <cellStyle name="Обычный 4 17 3 15 2" xfId="2971"/>
    <cellStyle name="Обычный 4 17 3 16" xfId="2972"/>
    <cellStyle name="Обычный 4 17 3 16 2" xfId="2973"/>
    <cellStyle name="Обычный 4 17 3 17" xfId="2974"/>
    <cellStyle name="Обычный 4 17 3 18" xfId="2975"/>
    <cellStyle name="Обычный 4 17 3 19" xfId="2976"/>
    <cellStyle name="Обычный 4 17 3 2" xfId="2977"/>
    <cellStyle name="Обычный 4 17 3 2 2" xfId="2978"/>
    <cellStyle name="Обычный 4 17 3 3" xfId="2979"/>
    <cellStyle name="Обычный 4 17 3 3 2" xfId="2980"/>
    <cellStyle name="Обычный 4 17 3 4" xfId="2981"/>
    <cellStyle name="Обычный 4 17 3 4 2" xfId="2982"/>
    <cellStyle name="Обычный 4 17 3 5" xfId="2983"/>
    <cellStyle name="Обычный 4 17 3 5 2" xfId="2984"/>
    <cellStyle name="Обычный 4 17 3 6" xfId="2985"/>
    <cellStyle name="Обычный 4 17 3 6 2" xfId="2986"/>
    <cellStyle name="Обычный 4 17 3 7" xfId="2987"/>
    <cellStyle name="Обычный 4 17 3 7 2" xfId="2988"/>
    <cellStyle name="Обычный 4 17 3 8" xfId="2989"/>
    <cellStyle name="Обычный 4 17 3 8 2" xfId="2990"/>
    <cellStyle name="Обычный 4 17 3 9" xfId="2991"/>
    <cellStyle name="Обычный 4 17 3 9 2" xfId="2992"/>
    <cellStyle name="Обычный 4 17 4" xfId="2993"/>
    <cellStyle name="Обычный 4 17 4 2" xfId="2994"/>
    <cellStyle name="Обычный 4 17 5" xfId="2995"/>
    <cellStyle name="Обычный 4 17 5 2" xfId="2996"/>
    <cellStyle name="Обычный 4 17 6" xfId="2997"/>
    <cellStyle name="Обычный 4 17 6 2" xfId="2998"/>
    <cellStyle name="Обычный 4 17 7" xfId="2999"/>
    <cellStyle name="Обычный 4 17 7 2" xfId="3000"/>
    <cellStyle name="Обычный 4 17 8" xfId="3001"/>
    <cellStyle name="Обычный 4 17 8 2" xfId="3002"/>
    <cellStyle name="Обычный 4 17 9" xfId="3003"/>
    <cellStyle name="Обычный 4 17 9 2" xfId="3004"/>
    <cellStyle name="Обычный 4 18" xfId="3005"/>
    <cellStyle name="Обычный 4 18 10" xfId="3006"/>
    <cellStyle name="Обычный 4 18 10 2" xfId="3007"/>
    <cellStyle name="Обычный 4 18 11" xfId="3008"/>
    <cellStyle name="Обычный 4 18 11 2" xfId="3009"/>
    <cellStyle name="Обычный 4 18 12" xfId="3010"/>
    <cellStyle name="Обычный 4 18 12 2" xfId="3011"/>
    <cellStyle name="Обычный 4 18 13" xfId="3012"/>
    <cellStyle name="Обычный 4 18 13 2" xfId="3013"/>
    <cellStyle name="Обычный 4 18 14" xfId="3014"/>
    <cellStyle name="Обычный 4 18 14 2" xfId="3015"/>
    <cellStyle name="Обычный 4 18 15" xfId="3016"/>
    <cellStyle name="Обычный 4 18 15 2" xfId="3017"/>
    <cellStyle name="Обычный 4 18 16" xfId="3018"/>
    <cellStyle name="Обычный 4 18 16 2" xfId="3019"/>
    <cellStyle name="Обычный 4 18 17" xfId="3020"/>
    <cellStyle name="Обычный 4 18 17 2" xfId="3021"/>
    <cellStyle name="Обычный 4 18 18" xfId="3022"/>
    <cellStyle name="Обычный 4 18 18 2" xfId="3023"/>
    <cellStyle name="Обычный 4 18 19" xfId="3024"/>
    <cellStyle name="Обычный 4 18 2" xfId="3025"/>
    <cellStyle name="Обычный 4 18 2 10" xfId="3026"/>
    <cellStyle name="Обычный 4 18 2 10 2" xfId="3027"/>
    <cellStyle name="Обычный 4 18 2 11" xfId="3028"/>
    <cellStyle name="Обычный 4 18 2 11 2" xfId="3029"/>
    <cellStyle name="Обычный 4 18 2 12" xfId="3030"/>
    <cellStyle name="Обычный 4 18 2 12 2" xfId="3031"/>
    <cellStyle name="Обычный 4 18 2 13" xfId="3032"/>
    <cellStyle name="Обычный 4 18 2 13 2" xfId="3033"/>
    <cellStyle name="Обычный 4 18 2 14" xfId="3034"/>
    <cellStyle name="Обычный 4 18 2 14 2" xfId="3035"/>
    <cellStyle name="Обычный 4 18 2 15" xfId="3036"/>
    <cellStyle name="Обычный 4 18 2 15 2" xfId="3037"/>
    <cellStyle name="Обычный 4 18 2 16" xfId="3038"/>
    <cellStyle name="Обычный 4 18 2 16 2" xfId="3039"/>
    <cellStyle name="Обычный 4 18 2 17" xfId="3040"/>
    <cellStyle name="Обычный 4 18 2 18" xfId="3041"/>
    <cellStyle name="Обычный 4 18 2 19" xfId="3042"/>
    <cellStyle name="Обычный 4 18 2 2" xfId="3043"/>
    <cellStyle name="Обычный 4 18 2 2 2" xfId="3044"/>
    <cellStyle name="Обычный 4 18 2 20" xfId="3045"/>
    <cellStyle name="Обычный 4 18 2 3" xfId="3046"/>
    <cellStyle name="Обычный 4 18 2 3 2" xfId="3047"/>
    <cellStyle name="Обычный 4 18 2 4" xfId="3048"/>
    <cellStyle name="Обычный 4 18 2 4 2" xfId="3049"/>
    <cellStyle name="Обычный 4 18 2 5" xfId="3050"/>
    <cellStyle name="Обычный 4 18 2 5 2" xfId="3051"/>
    <cellStyle name="Обычный 4 18 2 6" xfId="3052"/>
    <cellStyle name="Обычный 4 18 2 6 2" xfId="3053"/>
    <cellStyle name="Обычный 4 18 2 7" xfId="3054"/>
    <cellStyle name="Обычный 4 18 2 7 2" xfId="3055"/>
    <cellStyle name="Обычный 4 18 2 8" xfId="3056"/>
    <cellStyle name="Обычный 4 18 2 8 2" xfId="3057"/>
    <cellStyle name="Обычный 4 18 2 9" xfId="3058"/>
    <cellStyle name="Обычный 4 18 2 9 2" xfId="3059"/>
    <cellStyle name="Обычный 4 18 20" xfId="3060"/>
    <cellStyle name="Обычный 4 18 21" xfId="3061"/>
    <cellStyle name="Обычный 4 18 3" xfId="3062"/>
    <cellStyle name="Обычный 4 18 3 10" xfId="3063"/>
    <cellStyle name="Обычный 4 18 3 10 2" xfId="3064"/>
    <cellStyle name="Обычный 4 18 3 11" xfId="3065"/>
    <cellStyle name="Обычный 4 18 3 11 2" xfId="3066"/>
    <cellStyle name="Обычный 4 18 3 12" xfId="3067"/>
    <cellStyle name="Обычный 4 18 3 12 2" xfId="3068"/>
    <cellStyle name="Обычный 4 18 3 13" xfId="3069"/>
    <cellStyle name="Обычный 4 18 3 13 2" xfId="3070"/>
    <cellStyle name="Обычный 4 18 3 14" xfId="3071"/>
    <cellStyle name="Обычный 4 18 3 14 2" xfId="3072"/>
    <cellStyle name="Обычный 4 18 3 15" xfId="3073"/>
    <cellStyle name="Обычный 4 18 3 15 2" xfId="3074"/>
    <cellStyle name="Обычный 4 18 3 16" xfId="3075"/>
    <cellStyle name="Обычный 4 18 3 16 2" xfId="3076"/>
    <cellStyle name="Обычный 4 18 3 17" xfId="3077"/>
    <cellStyle name="Обычный 4 18 3 18" xfId="3078"/>
    <cellStyle name="Обычный 4 18 3 19" xfId="3079"/>
    <cellStyle name="Обычный 4 18 3 2" xfId="3080"/>
    <cellStyle name="Обычный 4 18 3 2 2" xfId="3081"/>
    <cellStyle name="Обычный 4 18 3 3" xfId="3082"/>
    <cellStyle name="Обычный 4 18 3 3 2" xfId="3083"/>
    <cellStyle name="Обычный 4 18 3 4" xfId="3084"/>
    <cellStyle name="Обычный 4 18 3 4 2" xfId="3085"/>
    <cellStyle name="Обычный 4 18 3 5" xfId="3086"/>
    <cellStyle name="Обычный 4 18 3 5 2" xfId="3087"/>
    <cellStyle name="Обычный 4 18 3 6" xfId="3088"/>
    <cellStyle name="Обычный 4 18 3 6 2" xfId="3089"/>
    <cellStyle name="Обычный 4 18 3 7" xfId="3090"/>
    <cellStyle name="Обычный 4 18 3 7 2" xfId="3091"/>
    <cellStyle name="Обычный 4 18 3 8" xfId="3092"/>
    <cellStyle name="Обычный 4 18 3 8 2" xfId="3093"/>
    <cellStyle name="Обычный 4 18 3 9" xfId="3094"/>
    <cellStyle name="Обычный 4 18 3 9 2" xfId="3095"/>
    <cellStyle name="Обычный 4 18 4" xfId="3096"/>
    <cellStyle name="Обычный 4 18 4 2" xfId="3097"/>
    <cellStyle name="Обычный 4 18 5" xfId="3098"/>
    <cellStyle name="Обычный 4 18 5 2" xfId="3099"/>
    <cellStyle name="Обычный 4 18 6" xfId="3100"/>
    <cellStyle name="Обычный 4 18 6 2" xfId="3101"/>
    <cellStyle name="Обычный 4 18 7" xfId="3102"/>
    <cellStyle name="Обычный 4 18 7 2" xfId="3103"/>
    <cellStyle name="Обычный 4 18 8" xfId="3104"/>
    <cellStyle name="Обычный 4 18 8 2" xfId="3105"/>
    <cellStyle name="Обычный 4 18 9" xfId="3106"/>
    <cellStyle name="Обычный 4 18 9 2" xfId="3107"/>
    <cellStyle name="Обычный 4 19" xfId="3108"/>
    <cellStyle name="Обычный 4 19 10" xfId="3109"/>
    <cellStyle name="Обычный 4 19 10 2" xfId="3110"/>
    <cellStyle name="Обычный 4 19 11" xfId="3111"/>
    <cellStyle name="Обычный 4 19 11 2" xfId="3112"/>
    <cellStyle name="Обычный 4 19 12" xfId="3113"/>
    <cellStyle name="Обычный 4 19 12 2" xfId="3114"/>
    <cellStyle name="Обычный 4 19 13" xfId="3115"/>
    <cellStyle name="Обычный 4 19 13 2" xfId="3116"/>
    <cellStyle name="Обычный 4 19 14" xfId="3117"/>
    <cellStyle name="Обычный 4 19 14 2" xfId="3118"/>
    <cellStyle name="Обычный 4 19 15" xfId="3119"/>
    <cellStyle name="Обычный 4 19 15 2" xfId="3120"/>
    <cellStyle name="Обычный 4 19 16" xfId="3121"/>
    <cellStyle name="Обычный 4 19 16 2" xfId="3122"/>
    <cellStyle name="Обычный 4 19 17" xfId="3123"/>
    <cellStyle name="Обычный 4 19 17 2" xfId="3124"/>
    <cellStyle name="Обычный 4 19 18" xfId="3125"/>
    <cellStyle name="Обычный 4 19 18 2" xfId="3126"/>
    <cellStyle name="Обычный 4 19 19" xfId="3127"/>
    <cellStyle name="Обычный 4 19 2" xfId="3128"/>
    <cellStyle name="Обычный 4 19 2 10" xfId="3129"/>
    <cellStyle name="Обычный 4 19 2 10 2" xfId="3130"/>
    <cellStyle name="Обычный 4 19 2 11" xfId="3131"/>
    <cellStyle name="Обычный 4 19 2 11 2" xfId="3132"/>
    <cellStyle name="Обычный 4 19 2 12" xfId="3133"/>
    <cellStyle name="Обычный 4 19 2 12 2" xfId="3134"/>
    <cellStyle name="Обычный 4 19 2 13" xfId="3135"/>
    <cellStyle name="Обычный 4 19 2 13 2" xfId="3136"/>
    <cellStyle name="Обычный 4 19 2 14" xfId="3137"/>
    <cellStyle name="Обычный 4 19 2 14 2" xfId="3138"/>
    <cellStyle name="Обычный 4 19 2 15" xfId="3139"/>
    <cellStyle name="Обычный 4 19 2 15 2" xfId="3140"/>
    <cellStyle name="Обычный 4 19 2 16" xfId="3141"/>
    <cellStyle name="Обычный 4 19 2 16 2" xfId="3142"/>
    <cellStyle name="Обычный 4 19 2 17" xfId="3143"/>
    <cellStyle name="Обычный 4 19 2 18" xfId="3144"/>
    <cellStyle name="Обычный 4 19 2 19" xfId="3145"/>
    <cellStyle name="Обычный 4 19 2 2" xfId="3146"/>
    <cellStyle name="Обычный 4 19 2 2 2" xfId="3147"/>
    <cellStyle name="Обычный 4 19 2 20" xfId="3148"/>
    <cellStyle name="Обычный 4 19 2 3" xfId="3149"/>
    <cellStyle name="Обычный 4 19 2 3 2" xfId="3150"/>
    <cellStyle name="Обычный 4 19 2 4" xfId="3151"/>
    <cellStyle name="Обычный 4 19 2 4 2" xfId="3152"/>
    <cellStyle name="Обычный 4 19 2 5" xfId="3153"/>
    <cellStyle name="Обычный 4 19 2 5 2" xfId="3154"/>
    <cellStyle name="Обычный 4 19 2 6" xfId="3155"/>
    <cellStyle name="Обычный 4 19 2 6 2" xfId="3156"/>
    <cellStyle name="Обычный 4 19 2 7" xfId="3157"/>
    <cellStyle name="Обычный 4 19 2 7 2" xfId="3158"/>
    <cellStyle name="Обычный 4 19 2 8" xfId="3159"/>
    <cellStyle name="Обычный 4 19 2 8 2" xfId="3160"/>
    <cellStyle name="Обычный 4 19 2 9" xfId="3161"/>
    <cellStyle name="Обычный 4 19 2 9 2" xfId="3162"/>
    <cellStyle name="Обычный 4 19 20" xfId="3163"/>
    <cellStyle name="Обычный 4 19 21" xfId="3164"/>
    <cellStyle name="Обычный 4 19 3" xfId="3165"/>
    <cellStyle name="Обычный 4 19 3 10" xfId="3166"/>
    <cellStyle name="Обычный 4 19 3 10 2" xfId="3167"/>
    <cellStyle name="Обычный 4 19 3 11" xfId="3168"/>
    <cellStyle name="Обычный 4 19 3 11 2" xfId="3169"/>
    <cellStyle name="Обычный 4 19 3 12" xfId="3170"/>
    <cellStyle name="Обычный 4 19 3 12 2" xfId="3171"/>
    <cellStyle name="Обычный 4 19 3 13" xfId="3172"/>
    <cellStyle name="Обычный 4 19 3 13 2" xfId="3173"/>
    <cellStyle name="Обычный 4 19 3 14" xfId="3174"/>
    <cellStyle name="Обычный 4 19 3 14 2" xfId="3175"/>
    <cellStyle name="Обычный 4 19 3 15" xfId="3176"/>
    <cellStyle name="Обычный 4 19 3 15 2" xfId="3177"/>
    <cellStyle name="Обычный 4 19 3 16" xfId="3178"/>
    <cellStyle name="Обычный 4 19 3 16 2" xfId="3179"/>
    <cellStyle name="Обычный 4 19 3 17" xfId="3180"/>
    <cellStyle name="Обычный 4 19 3 18" xfId="3181"/>
    <cellStyle name="Обычный 4 19 3 19" xfId="3182"/>
    <cellStyle name="Обычный 4 19 3 2" xfId="3183"/>
    <cellStyle name="Обычный 4 19 3 2 2" xfId="3184"/>
    <cellStyle name="Обычный 4 19 3 3" xfId="3185"/>
    <cellStyle name="Обычный 4 19 3 3 2" xfId="3186"/>
    <cellStyle name="Обычный 4 19 3 4" xfId="3187"/>
    <cellStyle name="Обычный 4 19 3 4 2" xfId="3188"/>
    <cellStyle name="Обычный 4 19 3 5" xfId="3189"/>
    <cellStyle name="Обычный 4 19 3 5 2" xfId="3190"/>
    <cellStyle name="Обычный 4 19 3 6" xfId="3191"/>
    <cellStyle name="Обычный 4 19 3 6 2" xfId="3192"/>
    <cellStyle name="Обычный 4 19 3 7" xfId="3193"/>
    <cellStyle name="Обычный 4 19 3 7 2" xfId="3194"/>
    <cellStyle name="Обычный 4 19 3 8" xfId="3195"/>
    <cellStyle name="Обычный 4 19 3 8 2" xfId="3196"/>
    <cellStyle name="Обычный 4 19 3 9" xfId="3197"/>
    <cellStyle name="Обычный 4 19 3 9 2" xfId="3198"/>
    <cellStyle name="Обычный 4 19 4" xfId="3199"/>
    <cellStyle name="Обычный 4 19 4 2" xfId="3200"/>
    <cellStyle name="Обычный 4 19 5" xfId="3201"/>
    <cellStyle name="Обычный 4 19 5 2" xfId="3202"/>
    <cellStyle name="Обычный 4 19 6" xfId="3203"/>
    <cellStyle name="Обычный 4 19 6 2" xfId="3204"/>
    <cellStyle name="Обычный 4 19 7" xfId="3205"/>
    <cellStyle name="Обычный 4 19 7 2" xfId="3206"/>
    <cellStyle name="Обычный 4 19 8" xfId="3207"/>
    <cellStyle name="Обычный 4 19 8 2" xfId="3208"/>
    <cellStyle name="Обычный 4 19 9" xfId="3209"/>
    <cellStyle name="Обычный 4 19 9 2" xfId="3210"/>
    <cellStyle name="Обычный 4 2" xfId="3211"/>
    <cellStyle name="Обычный 4 2 10" xfId="3212"/>
    <cellStyle name="Обычный 4 2 10 2" xfId="3213"/>
    <cellStyle name="Обычный 4 2 11" xfId="3214"/>
    <cellStyle name="Обычный 4 2 11 2" xfId="3215"/>
    <cellStyle name="Обычный 4 2 12" xfId="3216"/>
    <cellStyle name="Обычный 4 2 12 2" xfId="3217"/>
    <cellStyle name="Обычный 4 2 13" xfId="3218"/>
    <cellStyle name="Обычный 4 2 13 2" xfId="3219"/>
    <cellStyle name="Обычный 4 2 14" xfId="3220"/>
    <cellStyle name="Обычный 4 2 14 2" xfId="3221"/>
    <cellStyle name="Обычный 4 2 15" xfId="3222"/>
    <cellStyle name="Обычный 4 2 15 2" xfId="3223"/>
    <cellStyle name="Обычный 4 2 16" xfId="3224"/>
    <cellStyle name="Обычный 4 2 16 2" xfId="3225"/>
    <cellStyle name="Обычный 4 2 17" xfId="3226"/>
    <cellStyle name="Обычный 4 2 17 2" xfId="3227"/>
    <cellStyle name="Обычный 4 2 18" xfId="3228"/>
    <cellStyle name="Обычный 4 2 18 2" xfId="3229"/>
    <cellStyle name="Обычный 4 2 19" xfId="3230"/>
    <cellStyle name="Обычный 4 2 2" xfId="3231"/>
    <cellStyle name="Обычный 4 2 2 10" xfId="3232"/>
    <cellStyle name="Обычный 4 2 2 10 2" xfId="3233"/>
    <cellStyle name="Обычный 4 2 2 11" xfId="3234"/>
    <cellStyle name="Обычный 4 2 2 11 2" xfId="3235"/>
    <cellStyle name="Обычный 4 2 2 12" xfId="3236"/>
    <cellStyle name="Обычный 4 2 2 12 2" xfId="3237"/>
    <cellStyle name="Обычный 4 2 2 13" xfId="3238"/>
    <cellStyle name="Обычный 4 2 2 13 2" xfId="3239"/>
    <cellStyle name="Обычный 4 2 2 14" xfId="3240"/>
    <cellStyle name="Обычный 4 2 2 14 2" xfId="3241"/>
    <cellStyle name="Обычный 4 2 2 15" xfId="3242"/>
    <cellStyle name="Обычный 4 2 2 15 2" xfId="3243"/>
    <cellStyle name="Обычный 4 2 2 16" xfId="3244"/>
    <cellStyle name="Обычный 4 2 2 16 2" xfId="3245"/>
    <cellStyle name="Обычный 4 2 2 17" xfId="3246"/>
    <cellStyle name="Обычный 4 2 2 18" xfId="3247"/>
    <cellStyle name="Обычный 4 2 2 19" xfId="3248"/>
    <cellStyle name="Обычный 4 2 2 2" xfId="3249"/>
    <cellStyle name="Обычный 4 2 2 2 2" xfId="3250"/>
    <cellStyle name="Обычный 4 2 2 20" xfId="3251"/>
    <cellStyle name="Обычный 4 2 2 3" xfId="3252"/>
    <cellStyle name="Обычный 4 2 2 3 2" xfId="3253"/>
    <cellStyle name="Обычный 4 2 2 4" xfId="3254"/>
    <cellStyle name="Обычный 4 2 2 4 2" xfId="3255"/>
    <cellStyle name="Обычный 4 2 2 5" xfId="3256"/>
    <cellStyle name="Обычный 4 2 2 5 2" xfId="3257"/>
    <cellStyle name="Обычный 4 2 2 6" xfId="3258"/>
    <cellStyle name="Обычный 4 2 2 6 2" xfId="3259"/>
    <cellStyle name="Обычный 4 2 2 7" xfId="3260"/>
    <cellStyle name="Обычный 4 2 2 7 2" xfId="3261"/>
    <cellStyle name="Обычный 4 2 2 8" xfId="3262"/>
    <cellStyle name="Обычный 4 2 2 8 2" xfId="3263"/>
    <cellStyle name="Обычный 4 2 2 9" xfId="3264"/>
    <cellStyle name="Обычный 4 2 2 9 2" xfId="3265"/>
    <cellStyle name="Обычный 4 2 20" xfId="3266"/>
    <cellStyle name="Обычный 4 2 21" xfId="3267"/>
    <cellStyle name="Обычный 4 2 3" xfId="3268"/>
    <cellStyle name="Обычный 4 2 3 10" xfId="3269"/>
    <cellStyle name="Обычный 4 2 3 10 2" xfId="3270"/>
    <cellStyle name="Обычный 4 2 3 11" xfId="3271"/>
    <cellStyle name="Обычный 4 2 3 11 2" xfId="3272"/>
    <cellStyle name="Обычный 4 2 3 12" xfId="3273"/>
    <cellStyle name="Обычный 4 2 3 12 2" xfId="3274"/>
    <cellStyle name="Обычный 4 2 3 13" xfId="3275"/>
    <cellStyle name="Обычный 4 2 3 13 2" xfId="3276"/>
    <cellStyle name="Обычный 4 2 3 14" xfId="3277"/>
    <cellStyle name="Обычный 4 2 3 14 2" xfId="3278"/>
    <cellStyle name="Обычный 4 2 3 15" xfId="3279"/>
    <cellStyle name="Обычный 4 2 3 15 2" xfId="3280"/>
    <cellStyle name="Обычный 4 2 3 16" xfId="3281"/>
    <cellStyle name="Обычный 4 2 3 16 2" xfId="3282"/>
    <cellStyle name="Обычный 4 2 3 17" xfId="3283"/>
    <cellStyle name="Обычный 4 2 3 18" xfId="3284"/>
    <cellStyle name="Обычный 4 2 3 19" xfId="3285"/>
    <cellStyle name="Обычный 4 2 3 2" xfId="3286"/>
    <cellStyle name="Обычный 4 2 3 2 2" xfId="3287"/>
    <cellStyle name="Обычный 4 2 3 3" xfId="3288"/>
    <cellStyle name="Обычный 4 2 3 3 2" xfId="3289"/>
    <cellStyle name="Обычный 4 2 3 4" xfId="3290"/>
    <cellStyle name="Обычный 4 2 3 4 2" xfId="3291"/>
    <cellStyle name="Обычный 4 2 3 5" xfId="3292"/>
    <cellStyle name="Обычный 4 2 3 5 2" xfId="3293"/>
    <cellStyle name="Обычный 4 2 3 6" xfId="3294"/>
    <cellStyle name="Обычный 4 2 3 6 2" xfId="3295"/>
    <cellStyle name="Обычный 4 2 3 7" xfId="3296"/>
    <cellStyle name="Обычный 4 2 3 7 2" xfId="3297"/>
    <cellStyle name="Обычный 4 2 3 8" xfId="3298"/>
    <cellStyle name="Обычный 4 2 3 8 2" xfId="3299"/>
    <cellStyle name="Обычный 4 2 3 9" xfId="3300"/>
    <cellStyle name="Обычный 4 2 3 9 2" xfId="3301"/>
    <cellStyle name="Обычный 4 2 4" xfId="3302"/>
    <cellStyle name="Обычный 4 2 4 2" xfId="3303"/>
    <cellStyle name="Обычный 4 2 5" xfId="3304"/>
    <cellStyle name="Обычный 4 2 5 2" xfId="3305"/>
    <cellStyle name="Обычный 4 2 6" xfId="3306"/>
    <cellStyle name="Обычный 4 2 6 2" xfId="3307"/>
    <cellStyle name="Обычный 4 2 7" xfId="3308"/>
    <cellStyle name="Обычный 4 2 7 2" xfId="3309"/>
    <cellStyle name="Обычный 4 2 8" xfId="3310"/>
    <cellStyle name="Обычный 4 2 8 2" xfId="3311"/>
    <cellStyle name="Обычный 4 2 9" xfId="3312"/>
    <cellStyle name="Обычный 4 2 9 2" xfId="3313"/>
    <cellStyle name="Обычный 4 20" xfId="3314"/>
    <cellStyle name="Обычный 4 20 10" xfId="3315"/>
    <cellStyle name="Обычный 4 20 10 2" xfId="3316"/>
    <cellStyle name="Обычный 4 20 11" xfId="3317"/>
    <cellStyle name="Обычный 4 20 11 2" xfId="3318"/>
    <cellStyle name="Обычный 4 20 12" xfId="3319"/>
    <cellStyle name="Обычный 4 20 12 2" xfId="3320"/>
    <cellStyle name="Обычный 4 20 13" xfId="3321"/>
    <cellStyle name="Обычный 4 20 13 2" xfId="3322"/>
    <cellStyle name="Обычный 4 20 14" xfId="3323"/>
    <cellStyle name="Обычный 4 20 14 2" xfId="3324"/>
    <cellStyle name="Обычный 4 20 15" xfId="3325"/>
    <cellStyle name="Обычный 4 20 15 2" xfId="3326"/>
    <cellStyle name="Обычный 4 20 16" xfId="3327"/>
    <cellStyle name="Обычный 4 20 16 2" xfId="3328"/>
    <cellStyle name="Обычный 4 20 17" xfId="3329"/>
    <cellStyle name="Обычный 4 20 17 2" xfId="3330"/>
    <cellStyle name="Обычный 4 20 18" xfId="3331"/>
    <cellStyle name="Обычный 4 20 18 2" xfId="3332"/>
    <cellStyle name="Обычный 4 20 19" xfId="3333"/>
    <cellStyle name="Обычный 4 20 2" xfId="3334"/>
    <cellStyle name="Обычный 4 20 2 10" xfId="3335"/>
    <cellStyle name="Обычный 4 20 2 10 2" xfId="3336"/>
    <cellStyle name="Обычный 4 20 2 11" xfId="3337"/>
    <cellStyle name="Обычный 4 20 2 11 2" xfId="3338"/>
    <cellStyle name="Обычный 4 20 2 12" xfId="3339"/>
    <cellStyle name="Обычный 4 20 2 12 2" xfId="3340"/>
    <cellStyle name="Обычный 4 20 2 13" xfId="3341"/>
    <cellStyle name="Обычный 4 20 2 13 2" xfId="3342"/>
    <cellStyle name="Обычный 4 20 2 14" xfId="3343"/>
    <cellStyle name="Обычный 4 20 2 14 2" xfId="3344"/>
    <cellStyle name="Обычный 4 20 2 15" xfId="3345"/>
    <cellStyle name="Обычный 4 20 2 15 2" xfId="3346"/>
    <cellStyle name="Обычный 4 20 2 16" xfId="3347"/>
    <cellStyle name="Обычный 4 20 2 16 2" xfId="3348"/>
    <cellStyle name="Обычный 4 20 2 17" xfId="3349"/>
    <cellStyle name="Обычный 4 20 2 18" xfId="3350"/>
    <cellStyle name="Обычный 4 20 2 19" xfId="3351"/>
    <cellStyle name="Обычный 4 20 2 2" xfId="3352"/>
    <cellStyle name="Обычный 4 20 2 2 2" xfId="3353"/>
    <cellStyle name="Обычный 4 20 2 20" xfId="3354"/>
    <cellStyle name="Обычный 4 20 2 3" xfId="3355"/>
    <cellStyle name="Обычный 4 20 2 3 2" xfId="3356"/>
    <cellStyle name="Обычный 4 20 2 4" xfId="3357"/>
    <cellStyle name="Обычный 4 20 2 4 2" xfId="3358"/>
    <cellStyle name="Обычный 4 20 2 5" xfId="3359"/>
    <cellStyle name="Обычный 4 20 2 5 2" xfId="3360"/>
    <cellStyle name="Обычный 4 20 2 6" xfId="3361"/>
    <cellStyle name="Обычный 4 20 2 6 2" xfId="3362"/>
    <cellStyle name="Обычный 4 20 2 7" xfId="3363"/>
    <cellStyle name="Обычный 4 20 2 7 2" xfId="3364"/>
    <cellStyle name="Обычный 4 20 2 8" xfId="3365"/>
    <cellStyle name="Обычный 4 20 2 8 2" xfId="3366"/>
    <cellStyle name="Обычный 4 20 2 9" xfId="3367"/>
    <cellStyle name="Обычный 4 20 2 9 2" xfId="3368"/>
    <cellStyle name="Обычный 4 20 20" xfId="3369"/>
    <cellStyle name="Обычный 4 20 21" xfId="3370"/>
    <cellStyle name="Обычный 4 20 3" xfId="3371"/>
    <cellStyle name="Обычный 4 20 3 10" xfId="3372"/>
    <cellStyle name="Обычный 4 20 3 10 2" xfId="3373"/>
    <cellStyle name="Обычный 4 20 3 11" xfId="3374"/>
    <cellStyle name="Обычный 4 20 3 11 2" xfId="3375"/>
    <cellStyle name="Обычный 4 20 3 12" xfId="3376"/>
    <cellStyle name="Обычный 4 20 3 12 2" xfId="3377"/>
    <cellStyle name="Обычный 4 20 3 13" xfId="3378"/>
    <cellStyle name="Обычный 4 20 3 13 2" xfId="3379"/>
    <cellStyle name="Обычный 4 20 3 14" xfId="3380"/>
    <cellStyle name="Обычный 4 20 3 14 2" xfId="3381"/>
    <cellStyle name="Обычный 4 20 3 15" xfId="3382"/>
    <cellStyle name="Обычный 4 20 3 15 2" xfId="3383"/>
    <cellStyle name="Обычный 4 20 3 16" xfId="3384"/>
    <cellStyle name="Обычный 4 20 3 16 2" xfId="3385"/>
    <cellStyle name="Обычный 4 20 3 17" xfId="3386"/>
    <cellStyle name="Обычный 4 20 3 18" xfId="3387"/>
    <cellStyle name="Обычный 4 20 3 19" xfId="3388"/>
    <cellStyle name="Обычный 4 20 3 2" xfId="3389"/>
    <cellStyle name="Обычный 4 20 3 2 2" xfId="3390"/>
    <cellStyle name="Обычный 4 20 3 3" xfId="3391"/>
    <cellStyle name="Обычный 4 20 3 3 2" xfId="3392"/>
    <cellStyle name="Обычный 4 20 3 4" xfId="3393"/>
    <cellStyle name="Обычный 4 20 3 4 2" xfId="3394"/>
    <cellStyle name="Обычный 4 20 3 5" xfId="3395"/>
    <cellStyle name="Обычный 4 20 3 5 2" xfId="3396"/>
    <cellStyle name="Обычный 4 20 3 6" xfId="3397"/>
    <cellStyle name="Обычный 4 20 3 6 2" xfId="3398"/>
    <cellStyle name="Обычный 4 20 3 7" xfId="3399"/>
    <cellStyle name="Обычный 4 20 3 7 2" xfId="3400"/>
    <cellStyle name="Обычный 4 20 3 8" xfId="3401"/>
    <cellStyle name="Обычный 4 20 3 8 2" xfId="3402"/>
    <cellStyle name="Обычный 4 20 3 9" xfId="3403"/>
    <cellStyle name="Обычный 4 20 3 9 2" xfId="3404"/>
    <cellStyle name="Обычный 4 20 4" xfId="3405"/>
    <cellStyle name="Обычный 4 20 4 2" xfId="3406"/>
    <cellStyle name="Обычный 4 20 5" xfId="3407"/>
    <cellStyle name="Обычный 4 20 5 2" xfId="3408"/>
    <cellStyle name="Обычный 4 20 6" xfId="3409"/>
    <cellStyle name="Обычный 4 20 6 2" xfId="3410"/>
    <cellStyle name="Обычный 4 20 7" xfId="3411"/>
    <cellStyle name="Обычный 4 20 7 2" xfId="3412"/>
    <cellStyle name="Обычный 4 20 8" xfId="3413"/>
    <cellStyle name="Обычный 4 20 8 2" xfId="3414"/>
    <cellStyle name="Обычный 4 20 9" xfId="3415"/>
    <cellStyle name="Обычный 4 20 9 2" xfId="3416"/>
    <cellStyle name="Обычный 4 21" xfId="3417"/>
    <cellStyle name="Обычный 4 21 10" xfId="3418"/>
    <cellStyle name="Обычный 4 21 10 2" xfId="3419"/>
    <cellStyle name="Обычный 4 21 11" xfId="3420"/>
    <cellStyle name="Обычный 4 21 11 2" xfId="3421"/>
    <cellStyle name="Обычный 4 21 12" xfId="3422"/>
    <cellStyle name="Обычный 4 21 12 2" xfId="3423"/>
    <cellStyle name="Обычный 4 21 13" xfId="3424"/>
    <cellStyle name="Обычный 4 21 13 2" xfId="3425"/>
    <cellStyle name="Обычный 4 21 14" xfId="3426"/>
    <cellStyle name="Обычный 4 21 14 2" xfId="3427"/>
    <cellStyle name="Обычный 4 21 15" xfId="3428"/>
    <cellStyle name="Обычный 4 21 15 2" xfId="3429"/>
    <cellStyle name="Обычный 4 21 16" xfId="3430"/>
    <cellStyle name="Обычный 4 21 16 2" xfId="3431"/>
    <cellStyle name="Обычный 4 21 17" xfId="3432"/>
    <cellStyle name="Обычный 4 21 18" xfId="3433"/>
    <cellStyle name="Обычный 4 21 19" xfId="3434"/>
    <cellStyle name="Обычный 4 21 2" xfId="3435"/>
    <cellStyle name="Обычный 4 21 2 2" xfId="3436"/>
    <cellStyle name="Обычный 4 21 20" xfId="3437"/>
    <cellStyle name="Обычный 4 21 3" xfId="3438"/>
    <cellStyle name="Обычный 4 21 3 2" xfId="3439"/>
    <cellStyle name="Обычный 4 21 4" xfId="3440"/>
    <cellStyle name="Обычный 4 21 4 2" xfId="3441"/>
    <cellStyle name="Обычный 4 21 5" xfId="3442"/>
    <cellStyle name="Обычный 4 21 5 2" xfId="3443"/>
    <cellStyle name="Обычный 4 21 6" xfId="3444"/>
    <cellStyle name="Обычный 4 21 6 2" xfId="3445"/>
    <cellStyle name="Обычный 4 21 7" xfId="3446"/>
    <cellStyle name="Обычный 4 21 7 2" xfId="3447"/>
    <cellStyle name="Обычный 4 21 8" xfId="3448"/>
    <cellStyle name="Обычный 4 21 8 2" xfId="3449"/>
    <cellStyle name="Обычный 4 21 9" xfId="3450"/>
    <cellStyle name="Обычный 4 21 9 2" xfId="3451"/>
    <cellStyle name="Обычный 4 22" xfId="3452"/>
    <cellStyle name="Обычный 4 22 10" xfId="3453"/>
    <cellStyle name="Обычный 4 22 10 2" xfId="3454"/>
    <cellStyle name="Обычный 4 22 11" xfId="3455"/>
    <cellStyle name="Обычный 4 22 11 2" xfId="3456"/>
    <cellStyle name="Обычный 4 22 12" xfId="3457"/>
    <cellStyle name="Обычный 4 22 12 2" xfId="3458"/>
    <cellStyle name="Обычный 4 22 13" xfId="3459"/>
    <cellStyle name="Обычный 4 22 13 2" xfId="3460"/>
    <cellStyle name="Обычный 4 22 14" xfId="3461"/>
    <cellStyle name="Обычный 4 22 14 2" xfId="3462"/>
    <cellStyle name="Обычный 4 22 15" xfId="3463"/>
    <cellStyle name="Обычный 4 22 15 2" xfId="3464"/>
    <cellStyle name="Обычный 4 22 16" xfId="3465"/>
    <cellStyle name="Обычный 4 22 16 2" xfId="3466"/>
    <cellStyle name="Обычный 4 22 17" xfId="3467"/>
    <cellStyle name="Обычный 4 22 18" xfId="3468"/>
    <cellStyle name="Обычный 4 22 19" xfId="3469"/>
    <cellStyle name="Обычный 4 22 2" xfId="3470"/>
    <cellStyle name="Обычный 4 22 2 2" xfId="3471"/>
    <cellStyle name="Обычный 4 22 3" xfId="3472"/>
    <cellStyle name="Обычный 4 22 3 2" xfId="3473"/>
    <cellStyle name="Обычный 4 22 4" xfId="3474"/>
    <cellStyle name="Обычный 4 22 4 2" xfId="3475"/>
    <cellStyle name="Обычный 4 22 5" xfId="3476"/>
    <cellStyle name="Обычный 4 22 5 2" xfId="3477"/>
    <cellStyle name="Обычный 4 22 6" xfId="3478"/>
    <cellStyle name="Обычный 4 22 6 2" xfId="3479"/>
    <cellStyle name="Обычный 4 22 7" xfId="3480"/>
    <cellStyle name="Обычный 4 22 7 2" xfId="3481"/>
    <cellStyle name="Обычный 4 22 8" xfId="3482"/>
    <cellStyle name="Обычный 4 22 8 2" xfId="3483"/>
    <cellStyle name="Обычный 4 22 9" xfId="3484"/>
    <cellStyle name="Обычный 4 22 9 2" xfId="3485"/>
    <cellStyle name="Обычный 4 23" xfId="3486"/>
    <cellStyle name="Обычный 4 23 10" xfId="3487"/>
    <cellStyle name="Обычный 4 23 10 2" xfId="3488"/>
    <cellStyle name="Обычный 4 23 11" xfId="3489"/>
    <cellStyle name="Обычный 4 23 11 2" xfId="3490"/>
    <cellStyle name="Обычный 4 23 12" xfId="3491"/>
    <cellStyle name="Обычный 4 23 12 2" xfId="3492"/>
    <cellStyle name="Обычный 4 23 13" xfId="3493"/>
    <cellStyle name="Обычный 4 23 13 2" xfId="3494"/>
    <cellStyle name="Обычный 4 23 14" xfId="3495"/>
    <cellStyle name="Обычный 4 23 14 2" xfId="3496"/>
    <cellStyle name="Обычный 4 23 15" xfId="3497"/>
    <cellStyle name="Обычный 4 23 15 2" xfId="3498"/>
    <cellStyle name="Обычный 4 23 16" xfId="3499"/>
    <cellStyle name="Обычный 4 23 16 2" xfId="3500"/>
    <cellStyle name="Обычный 4 23 17" xfId="3501"/>
    <cellStyle name="Обычный 4 23 18" xfId="3502"/>
    <cellStyle name="Обычный 4 23 19" xfId="3503"/>
    <cellStyle name="Обычный 4 23 2" xfId="3504"/>
    <cellStyle name="Обычный 4 23 2 2" xfId="3505"/>
    <cellStyle name="Обычный 4 23 3" xfId="3506"/>
    <cellStyle name="Обычный 4 23 3 2" xfId="3507"/>
    <cellStyle name="Обычный 4 23 4" xfId="3508"/>
    <cellStyle name="Обычный 4 23 4 2" xfId="3509"/>
    <cellStyle name="Обычный 4 23 5" xfId="3510"/>
    <cellStyle name="Обычный 4 23 5 2" xfId="3511"/>
    <cellStyle name="Обычный 4 23 6" xfId="3512"/>
    <cellStyle name="Обычный 4 23 6 2" xfId="3513"/>
    <cellStyle name="Обычный 4 23 7" xfId="3514"/>
    <cellStyle name="Обычный 4 23 7 2" xfId="3515"/>
    <cellStyle name="Обычный 4 23 8" xfId="3516"/>
    <cellStyle name="Обычный 4 23 8 2" xfId="3517"/>
    <cellStyle name="Обычный 4 23 9" xfId="3518"/>
    <cellStyle name="Обычный 4 23 9 2" xfId="3519"/>
    <cellStyle name="Обычный 4 24" xfId="3520"/>
    <cellStyle name="Обычный 4 24 10" xfId="3521"/>
    <cellStyle name="Обычный 4 24 10 2" xfId="3522"/>
    <cellStyle name="Обычный 4 24 11" xfId="3523"/>
    <cellStyle name="Обычный 4 24 11 2" xfId="3524"/>
    <cellStyle name="Обычный 4 24 12" xfId="3525"/>
    <cellStyle name="Обычный 4 24 12 2" xfId="3526"/>
    <cellStyle name="Обычный 4 24 13" xfId="3527"/>
    <cellStyle name="Обычный 4 24 13 2" xfId="3528"/>
    <cellStyle name="Обычный 4 24 14" xfId="3529"/>
    <cellStyle name="Обычный 4 24 14 2" xfId="3530"/>
    <cellStyle name="Обычный 4 24 15" xfId="3531"/>
    <cellStyle name="Обычный 4 24 15 2" xfId="3532"/>
    <cellStyle name="Обычный 4 24 16" xfId="3533"/>
    <cellStyle name="Обычный 4 24 16 2" xfId="3534"/>
    <cellStyle name="Обычный 4 24 17" xfId="3535"/>
    <cellStyle name="Обычный 4 24 18" xfId="3536"/>
    <cellStyle name="Обычный 4 24 19" xfId="3537"/>
    <cellStyle name="Обычный 4 24 2" xfId="3538"/>
    <cellStyle name="Обычный 4 24 2 2" xfId="3539"/>
    <cellStyle name="Обычный 4 24 3" xfId="3540"/>
    <cellStyle name="Обычный 4 24 3 2" xfId="3541"/>
    <cellStyle name="Обычный 4 24 4" xfId="3542"/>
    <cellStyle name="Обычный 4 24 4 2" xfId="3543"/>
    <cellStyle name="Обычный 4 24 5" xfId="3544"/>
    <cellStyle name="Обычный 4 24 5 2" xfId="3545"/>
    <cellStyle name="Обычный 4 24 6" xfId="3546"/>
    <cellStyle name="Обычный 4 24 6 2" xfId="3547"/>
    <cellStyle name="Обычный 4 24 7" xfId="3548"/>
    <cellStyle name="Обычный 4 24 7 2" xfId="3549"/>
    <cellStyle name="Обычный 4 24 8" xfId="3550"/>
    <cellStyle name="Обычный 4 24 8 2" xfId="3551"/>
    <cellStyle name="Обычный 4 24 9" xfId="3552"/>
    <cellStyle name="Обычный 4 24 9 2" xfId="3553"/>
    <cellStyle name="Обычный 4 25" xfId="3554"/>
    <cellStyle name="Обычный 4 25 10" xfId="3555"/>
    <cellStyle name="Обычный 4 25 10 2" xfId="3556"/>
    <cellStyle name="Обычный 4 25 11" xfId="3557"/>
    <cellStyle name="Обычный 4 25 11 2" xfId="3558"/>
    <cellStyle name="Обычный 4 25 12" xfId="3559"/>
    <cellStyle name="Обычный 4 25 12 2" xfId="3560"/>
    <cellStyle name="Обычный 4 25 13" xfId="3561"/>
    <cellStyle name="Обычный 4 25 13 2" xfId="3562"/>
    <cellStyle name="Обычный 4 25 14" xfId="3563"/>
    <cellStyle name="Обычный 4 25 14 2" xfId="3564"/>
    <cellStyle name="Обычный 4 25 15" xfId="3565"/>
    <cellStyle name="Обычный 4 25 15 2" xfId="3566"/>
    <cellStyle name="Обычный 4 25 16" xfId="3567"/>
    <cellStyle name="Обычный 4 25 16 2" xfId="3568"/>
    <cellStyle name="Обычный 4 25 17" xfId="3569"/>
    <cellStyle name="Обычный 4 25 18" xfId="3570"/>
    <cellStyle name="Обычный 4 25 19" xfId="3571"/>
    <cellStyle name="Обычный 4 25 2" xfId="3572"/>
    <cellStyle name="Обычный 4 25 2 2" xfId="3573"/>
    <cellStyle name="Обычный 4 25 3" xfId="3574"/>
    <cellStyle name="Обычный 4 25 3 2" xfId="3575"/>
    <cellStyle name="Обычный 4 25 4" xfId="3576"/>
    <cellStyle name="Обычный 4 25 4 2" xfId="3577"/>
    <cellStyle name="Обычный 4 25 5" xfId="3578"/>
    <cellStyle name="Обычный 4 25 5 2" xfId="3579"/>
    <cellStyle name="Обычный 4 25 6" xfId="3580"/>
    <cellStyle name="Обычный 4 25 6 2" xfId="3581"/>
    <cellStyle name="Обычный 4 25 7" xfId="3582"/>
    <cellStyle name="Обычный 4 25 7 2" xfId="3583"/>
    <cellStyle name="Обычный 4 25 8" xfId="3584"/>
    <cellStyle name="Обычный 4 25 8 2" xfId="3585"/>
    <cellStyle name="Обычный 4 25 9" xfId="3586"/>
    <cellStyle name="Обычный 4 25 9 2" xfId="3587"/>
    <cellStyle name="Обычный 4 26" xfId="3588"/>
    <cellStyle name="Обычный 4 26 10" xfId="3589"/>
    <cellStyle name="Обычный 4 26 10 2" xfId="3590"/>
    <cellStyle name="Обычный 4 26 11" xfId="3591"/>
    <cellStyle name="Обычный 4 26 11 2" xfId="3592"/>
    <cellStyle name="Обычный 4 26 12" xfId="3593"/>
    <cellStyle name="Обычный 4 26 12 2" xfId="3594"/>
    <cellStyle name="Обычный 4 26 13" xfId="3595"/>
    <cellStyle name="Обычный 4 26 13 2" xfId="3596"/>
    <cellStyle name="Обычный 4 26 14" xfId="3597"/>
    <cellStyle name="Обычный 4 26 14 2" xfId="3598"/>
    <cellStyle name="Обычный 4 26 15" xfId="3599"/>
    <cellStyle name="Обычный 4 26 15 2" xfId="3600"/>
    <cellStyle name="Обычный 4 26 16" xfId="3601"/>
    <cellStyle name="Обычный 4 26 16 2" xfId="3602"/>
    <cellStyle name="Обычный 4 26 17" xfId="3603"/>
    <cellStyle name="Обычный 4 26 18" xfId="3604"/>
    <cellStyle name="Обычный 4 26 19" xfId="3605"/>
    <cellStyle name="Обычный 4 26 2" xfId="3606"/>
    <cellStyle name="Обычный 4 26 2 2" xfId="3607"/>
    <cellStyle name="Обычный 4 26 3" xfId="3608"/>
    <cellStyle name="Обычный 4 26 3 2" xfId="3609"/>
    <cellStyle name="Обычный 4 26 4" xfId="3610"/>
    <cellStyle name="Обычный 4 26 4 2" xfId="3611"/>
    <cellStyle name="Обычный 4 26 5" xfId="3612"/>
    <cellStyle name="Обычный 4 26 5 2" xfId="3613"/>
    <cellStyle name="Обычный 4 26 6" xfId="3614"/>
    <cellStyle name="Обычный 4 26 6 2" xfId="3615"/>
    <cellStyle name="Обычный 4 26 7" xfId="3616"/>
    <cellStyle name="Обычный 4 26 7 2" xfId="3617"/>
    <cellStyle name="Обычный 4 26 8" xfId="3618"/>
    <cellStyle name="Обычный 4 26 8 2" xfId="3619"/>
    <cellStyle name="Обычный 4 26 9" xfId="3620"/>
    <cellStyle name="Обычный 4 26 9 2" xfId="3621"/>
    <cellStyle name="Обычный 4 27" xfId="3622"/>
    <cellStyle name="Обычный 4 27 10" xfId="3623"/>
    <cellStyle name="Обычный 4 27 10 2" xfId="3624"/>
    <cellStyle name="Обычный 4 27 11" xfId="3625"/>
    <cellStyle name="Обычный 4 27 11 2" xfId="3626"/>
    <cellStyle name="Обычный 4 27 12" xfId="3627"/>
    <cellStyle name="Обычный 4 27 12 2" xfId="3628"/>
    <cellStyle name="Обычный 4 27 13" xfId="3629"/>
    <cellStyle name="Обычный 4 27 13 2" xfId="3630"/>
    <cellStyle name="Обычный 4 27 14" xfId="3631"/>
    <cellStyle name="Обычный 4 27 14 2" xfId="3632"/>
    <cellStyle name="Обычный 4 27 15" xfId="3633"/>
    <cellStyle name="Обычный 4 27 15 2" xfId="3634"/>
    <cellStyle name="Обычный 4 27 16" xfId="3635"/>
    <cellStyle name="Обычный 4 27 16 2" xfId="3636"/>
    <cellStyle name="Обычный 4 27 17" xfId="3637"/>
    <cellStyle name="Обычный 4 27 18" xfId="3638"/>
    <cellStyle name="Обычный 4 27 19" xfId="3639"/>
    <cellStyle name="Обычный 4 27 2" xfId="3640"/>
    <cellStyle name="Обычный 4 27 2 2" xfId="3641"/>
    <cellStyle name="Обычный 4 27 3" xfId="3642"/>
    <cellStyle name="Обычный 4 27 3 2" xfId="3643"/>
    <cellStyle name="Обычный 4 27 4" xfId="3644"/>
    <cellStyle name="Обычный 4 27 4 2" xfId="3645"/>
    <cellStyle name="Обычный 4 27 5" xfId="3646"/>
    <cellStyle name="Обычный 4 27 5 2" xfId="3647"/>
    <cellStyle name="Обычный 4 27 6" xfId="3648"/>
    <cellStyle name="Обычный 4 27 6 2" xfId="3649"/>
    <cellStyle name="Обычный 4 27 7" xfId="3650"/>
    <cellStyle name="Обычный 4 27 7 2" xfId="3651"/>
    <cellStyle name="Обычный 4 27 8" xfId="3652"/>
    <cellStyle name="Обычный 4 27 8 2" xfId="3653"/>
    <cellStyle name="Обычный 4 27 9" xfId="3654"/>
    <cellStyle name="Обычный 4 27 9 2" xfId="3655"/>
    <cellStyle name="Обычный 4 28" xfId="3656"/>
    <cellStyle name="Обычный 4 28 10" xfId="3657"/>
    <cellStyle name="Обычный 4 28 10 2" xfId="3658"/>
    <cellStyle name="Обычный 4 28 11" xfId="3659"/>
    <cellStyle name="Обычный 4 28 11 2" xfId="3660"/>
    <cellStyle name="Обычный 4 28 12" xfId="3661"/>
    <cellStyle name="Обычный 4 28 13" xfId="3662"/>
    <cellStyle name="Обычный 4 28 14" xfId="3663"/>
    <cellStyle name="Обычный 4 28 15" xfId="3664"/>
    <cellStyle name="Обычный 4 28 16" xfId="3665"/>
    <cellStyle name="Обычный 4 28 17" xfId="3666"/>
    <cellStyle name="Обычный 4 28 2" xfId="3667"/>
    <cellStyle name="Обычный 4 28 2 2" xfId="3668"/>
    <cellStyle name="Обычный 4 28 3" xfId="3669"/>
    <cellStyle name="Обычный 4 28 3 2" xfId="3670"/>
    <cellStyle name="Обычный 4 28 4" xfId="3671"/>
    <cellStyle name="Обычный 4 28 4 2" xfId="3672"/>
    <cellStyle name="Обычный 4 28 5" xfId="3673"/>
    <cellStyle name="Обычный 4 28 5 2" xfId="3674"/>
    <cellStyle name="Обычный 4 28 6" xfId="3675"/>
    <cellStyle name="Обычный 4 28 6 2" xfId="3676"/>
    <cellStyle name="Обычный 4 28 7" xfId="3677"/>
    <cellStyle name="Обычный 4 28 7 2" xfId="3678"/>
    <cellStyle name="Обычный 4 28 8" xfId="3679"/>
    <cellStyle name="Обычный 4 28 8 2" xfId="3680"/>
    <cellStyle name="Обычный 4 28 9" xfId="3681"/>
    <cellStyle name="Обычный 4 28 9 2" xfId="3682"/>
    <cellStyle name="Обычный 4 29" xfId="3683"/>
    <cellStyle name="Обычный 4 29 10" xfId="3684"/>
    <cellStyle name="Обычный 4 29 10 2" xfId="3685"/>
    <cellStyle name="Обычный 4 29 11" xfId="3686"/>
    <cellStyle name="Обычный 4 29 11 2" xfId="3687"/>
    <cellStyle name="Обычный 4 29 12" xfId="3688"/>
    <cellStyle name="Обычный 4 29 13" xfId="3689"/>
    <cellStyle name="Обычный 4 29 14" xfId="3690"/>
    <cellStyle name="Обычный 4 29 15" xfId="3691"/>
    <cellStyle name="Обычный 4 29 16" xfId="3692"/>
    <cellStyle name="Обычный 4 29 17" xfId="3693"/>
    <cellStyle name="Обычный 4 29 2" xfId="3694"/>
    <cellStyle name="Обычный 4 29 2 2" xfId="3695"/>
    <cellStyle name="Обычный 4 29 3" xfId="3696"/>
    <cellStyle name="Обычный 4 29 3 2" xfId="3697"/>
    <cellStyle name="Обычный 4 29 4" xfId="3698"/>
    <cellStyle name="Обычный 4 29 4 2" xfId="3699"/>
    <cellStyle name="Обычный 4 29 5" xfId="3700"/>
    <cellStyle name="Обычный 4 29 5 2" xfId="3701"/>
    <cellStyle name="Обычный 4 29 6" xfId="3702"/>
    <cellStyle name="Обычный 4 29 6 2" xfId="3703"/>
    <cellStyle name="Обычный 4 29 7" xfId="3704"/>
    <cellStyle name="Обычный 4 29 7 2" xfId="3705"/>
    <cellStyle name="Обычный 4 29 8" xfId="3706"/>
    <cellStyle name="Обычный 4 29 8 2" xfId="3707"/>
    <cellStyle name="Обычный 4 29 9" xfId="3708"/>
    <cellStyle name="Обычный 4 29 9 2" xfId="3709"/>
    <cellStyle name="Обычный 4 3" xfId="3710"/>
    <cellStyle name="Обычный 4 3 10" xfId="3711"/>
    <cellStyle name="Обычный 4 3 10 2" xfId="3712"/>
    <cellStyle name="Обычный 4 3 11" xfId="3713"/>
    <cellStyle name="Обычный 4 3 11 2" xfId="3714"/>
    <cellStyle name="Обычный 4 3 12" xfId="3715"/>
    <cellStyle name="Обычный 4 3 12 2" xfId="3716"/>
    <cellStyle name="Обычный 4 3 13" xfId="3717"/>
    <cellStyle name="Обычный 4 3 13 2" xfId="3718"/>
    <cellStyle name="Обычный 4 3 14" xfId="3719"/>
    <cellStyle name="Обычный 4 3 14 2" xfId="3720"/>
    <cellStyle name="Обычный 4 3 15" xfId="3721"/>
    <cellStyle name="Обычный 4 3 15 2" xfId="3722"/>
    <cellStyle name="Обычный 4 3 16" xfId="3723"/>
    <cellStyle name="Обычный 4 3 16 2" xfId="3724"/>
    <cellStyle name="Обычный 4 3 17" xfId="3725"/>
    <cellStyle name="Обычный 4 3 17 2" xfId="3726"/>
    <cellStyle name="Обычный 4 3 18" xfId="3727"/>
    <cellStyle name="Обычный 4 3 18 2" xfId="3728"/>
    <cellStyle name="Обычный 4 3 19" xfId="3729"/>
    <cellStyle name="Обычный 4 3 2" xfId="3730"/>
    <cellStyle name="Обычный 4 3 2 10" xfId="3731"/>
    <cellStyle name="Обычный 4 3 2 10 2" xfId="3732"/>
    <cellStyle name="Обычный 4 3 2 11" xfId="3733"/>
    <cellStyle name="Обычный 4 3 2 11 2" xfId="3734"/>
    <cellStyle name="Обычный 4 3 2 12" xfId="3735"/>
    <cellStyle name="Обычный 4 3 2 12 2" xfId="3736"/>
    <cellStyle name="Обычный 4 3 2 13" xfId="3737"/>
    <cellStyle name="Обычный 4 3 2 13 2" xfId="3738"/>
    <cellStyle name="Обычный 4 3 2 14" xfId="3739"/>
    <cellStyle name="Обычный 4 3 2 14 2" xfId="3740"/>
    <cellStyle name="Обычный 4 3 2 15" xfId="3741"/>
    <cellStyle name="Обычный 4 3 2 15 2" xfId="3742"/>
    <cellStyle name="Обычный 4 3 2 16" xfId="3743"/>
    <cellStyle name="Обычный 4 3 2 16 2" xfId="3744"/>
    <cellStyle name="Обычный 4 3 2 17" xfId="3745"/>
    <cellStyle name="Обычный 4 3 2 18" xfId="3746"/>
    <cellStyle name="Обычный 4 3 2 19" xfId="3747"/>
    <cellStyle name="Обычный 4 3 2 2" xfId="3748"/>
    <cellStyle name="Обычный 4 3 2 2 2" xfId="3749"/>
    <cellStyle name="Обычный 4 3 2 20" xfId="3750"/>
    <cellStyle name="Обычный 4 3 2 3" xfId="3751"/>
    <cellStyle name="Обычный 4 3 2 3 2" xfId="3752"/>
    <cellStyle name="Обычный 4 3 2 4" xfId="3753"/>
    <cellStyle name="Обычный 4 3 2 4 2" xfId="3754"/>
    <cellStyle name="Обычный 4 3 2 5" xfId="3755"/>
    <cellStyle name="Обычный 4 3 2 5 2" xfId="3756"/>
    <cellStyle name="Обычный 4 3 2 6" xfId="3757"/>
    <cellStyle name="Обычный 4 3 2 6 2" xfId="3758"/>
    <cellStyle name="Обычный 4 3 2 7" xfId="3759"/>
    <cellStyle name="Обычный 4 3 2 7 2" xfId="3760"/>
    <cellStyle name="Обычный 4 3 2 8" xfId="3761"/>
    <cellStyle name="Обычный 4 3 2 8 2" xfId="3762"/>
    <cellStyle name="Обычный 4 3 2 9" xfId="3763"/>
    <cellStyle name="Обычный 4 3 2 9 2" xfId="3764"/>
    <cellStyle name="Обычный 4 3 20" xfId="3765"/>
    <cellStyle name="Обычный 4 3 21" xfId="3766"/>
    <cellStyle name="Обычный 4 3 3" xfId="3767"/>
    <cellStyle name="Обычный 4 3 3 10" xfId="3768"/>
    <cellStyle name="Обычный 4 3 3 10 2" xfId="3769"/>
    <cellStyle name="Обычный 4 3 3 11" xfId="3770"/>
    <cellStyle name="Обычный 4 3 3 11 2" xfId="3771"/>
    <cellStyle name="Обычный 4 3 3 12" xfId="3772"/>
    <cellStyle name="Обычный 4 3 3 12 2" xfId="3773"/>
    <cellStyle name="Обычный 4 3 3 13" xfId="3774"/>
    <cellStyle name="Обычный 4 3 3 13 2" xfId="3775"/>
    <cellStyle name="Обычный 4 3 3 14" xfId="3776"/>
    <cellStyle name="Обычный 4 3 3 14 2" xfId="3777"/>
    <cellStyle name="Обычный 4 3 3 15" xfId="3778"/>
    <cellStyle name="Обычный 4 3 3 15 2" xfId="3779"/>
    <cellStyle name="Обычный 4 3 3 16" xfId="3780"/>
    <cellStyle name="Обычный 4 3 3 16 2" xfId="3781"/>
    <cellStyle name="Обычный 4 3 3 17" xfId="3782"/>
    <cellStyle name="Обычный 4 3 3 18" xfId="3783"/>
    <cellStyle name="Обычный 4 3 3 19" xfId="3784"/>
    <cellStyle name="Обычный 4 3 3 2" xfId="3785"/>
    <cellStyle name="Обычный 4 3 3 2 2" xfId="3786"/>
    <cellStyle name="Обычный 4 3 3 3" xfId="3787"/>
    <cellStyle name="Обычный 4 3 3 3 2" xfId="3788"/>
    <cellStyle name="Обычный 4 3 3 4" xfId="3789"/>
    <cellStyle name="Обычный 4 3 3 4 2" xfId="3790"/>
    <cellStyle name="Обычный 4 3 3 5" xfId="3791"/>
    <cellStyle name="Обычный 4 3 3 5 2" xfId="3792"/>
    <cellStyle name="Обычный 4 3 3 6" xfId="3793"/>
    <cellStyle name="Обычный 4 3 3 6 2" xfId="3794"/>
    <cellStyle name="Обычный 4 3 3 7" xfId="3795"/>
    <cellStyle name="Обычный 4 3 3 7 2" xfId="3796"/>
    <cellStyle name="Обычный 4 3 3 8" xfId="3797"/>
    <cellStyle name="Обычный 4 3 3 8 2" xfId="3798"/>
    <cellStyle name="Обычный 4 3 3 9" xfId="3799"/>
    <cellStyle name="Обычный 4 3 3 9 2" xfId="3800"/>
    <cellStyle name="Обычный 4 3 4" xfId="3801"/>
    <cellStyle name="Обычный 4 3 4 2" xfId="3802"/>
    <cellStyle name="Обычный 4 3 5" xfId="3803"/>
    <cellStyle name="Обычный 4 3 5 2" xfId="3804"/>
    <cellStyle name="Обычный 4 3 6" xfId="3805"/>
    <cellStyle name="Обычный 4 3 6 2" xfId="3806"/>
    <cellStyle name="Обычный 4 3 7" xfId="3807"/>
    <cellStyle name="Обычный 4 3 7 2" xfId="3808"/>
    <cellStyle name="Обычный 4 3 8" xfId="3809"/>
    <cellStyle name="Обычный 4 3 8 2" xfId="3810"/>
    <cellStyle name="Обычный 4 3 9" xfId="3811"/>
    <cellStyle name="Обычный 4 3 9 2" xfId="3812"/>
    <cellStyle name="Обычный 4 30" xfId="3813"/>
    <cellStyle name="Обычный 4 30 10" xfId="3814"/>
    <cellStyle name="Обычный 4 30 10 2" xfId="3815"/>
    <cellStyle name="Обычный 4 30 11" xfId="3816"/>
    <cellStyle name="Обычный 4 30 11 2" xfId="3817"/>
    <cellStyle name="Обычный 4 30 12" xfId="3818"/>
    <cellStyle name="Обычный 4 30 13" xfId="3819"/>
    <cellStyle name="Обычный 4 30 14" xfId="3820"/>
    <cellStyle name="Обычный 4 30 15" xfId="3821"/>
    <cellStyle name="Обычный 4 30 16" xfId="3822"/>
    <cellStyle name="Обычный 4 30 17" xfId="3823"/>
    <cellStyle name="Обычный 4 30 2" xfId="3824"/>
    <cellStyle name="Обычный 4 30 2 2" xfId="3825"/>
    <cellStyle name="Обычный 4 30 3" xfId="3826"/>
    <cellStyle name="Обычный 4 30 3 2" xfId="3827"/>
    <cellStyle name="Обычный 4 30 4" xfId="3828"/>
    <cellStyle name="Обычный 4 30 4 2" xfId="3829"/>
    <cellStyle name="Обычный 4 30 5" xfId="3830"/>
    <cellStyle name="Обычный 4 30 5 2" xfId="3831"/>
    <cellStyle name="Обычный 4 30 6" xfId="3832"/>
    <cellStyle name="Обычный 4 30 6 2" xfId="3833"/>
    <cellStyle name="Обычный 4 30 7" xfId="3834"/>
    <cellStyle name="Обычный 4 30 7 2" xfId="3835"/>
    <cellStyle name="Обычный 4 30 8" xfId="3836"/>
    <cellStyle name="Обычный 4 30 8 2" xfId="3837"/>
    <cellStyle name="Обычный 4 30 9" xfId="3838"/>
    <cellStyle name="Обычный 4 30 9 2" xfId="3839"/>
    <cellStyle name="Обычный 4 31" xfId="3840"/>
    <cellStyle name="Обычный 4 31 10" xfId="3841"/>
    <cellStyle name="Обычный 4 31 10 2" xfId="3842"/>
    <cellStyle name="Обычный 4 31 11" xfId="3843"/>
    <cellStyle name="Обычный 4 31 11 2" xfId="3844"/>
    <cellStyle name="Обычный 4 31 12" xfId="3845"/>
    <cellStyle name="Обычный 4 31 13" xfId="3846"/>
    <cellStyle name="Обычный 4 31 14" xfId="3847"/>
    <cellStyle name="Обычный 4 31 15" xfId="3848"/>
    <cellStyle name="Обычный 4 31 16" xfId="3849"/>
    <cellStyle name="Обычный 4 31 17" xfId="3850"/>
    <cellStyle name="Обычный 4 31 2" xfId="3851"/>
    <cellStyle name="Обычный 4 31 2 2" xfId="3852"/>
    <cellStyle name="Обычный 4 31 3" xfId="3853"/>
    <cellStyle name="Обычный 4 31 3 2" xfId="3854"/>
    <cellStyle name="Обычный 4 31 4" xfId="3855"/>
    <cellStyle name="Обычный 4 31 4 2" xfId="3856"/>
    <cellStyle name="Обычный 4 31 5" xfId="3857"/>
    <cellStyle name="Обычный 4 31 5 2" xfId="3858"/>
    <cellStyle name="Обычный 4 31 6" xfId="3859"/>
    <cellStyle name="Обычный 4 31 6 2" xfId="3860"/>
    <cellStyle name="Обычный 4 31 7" xfId="3861"/>
    <cellStyle name="Обычный 4 31 7 2" xfId="3862"/>
    <cellStyle name="Обычный 4 31 8" xfId="3863"/>
    <cellStyle name="Обычный 4 31 8 2" xfId="3864"/>
    <cellStyle name="Обычный 4 31 9" xfId="3865"/>
    <cellStyle name="Обычный 4 31 9 2" xfId="3866"/>
    <cellStyle name="Обычный 4 32" xfId="3867"/>
    <cellStyle name="Обычный 4 32 10" xfId="3868"/>
    <cellStyle name="Обычный 4 32 10 2" xfId="3869"/>
    <cellStyle name="Обычный 4 32 11" xfId="3870"/>
    <cellStyle name="Обычный 4 32 11 2" xfId="3871"/>
    <cellStyle name="Обычный 4 32 12" xfId="3872"/>
    <cellStyle name="Обычный 4 32 13" xfId="3873"/>
    <cellStyle name="Обычный 4 32 14" xfId="3874"/>
    <cellStyle name="Обычный 4 32 15" xfId="3875"/>
    <cellStyle name="Обычный 4 32 16" xfId="3876"/>
    <cellStyle name="Обычный 4 32 17" xfId="3877"/>
    <cellStyle name="Обычный 4 32 2" xfId="3878"/>
    <cellStyle name="Обычный 4 32 2 2" xfId="3879"/>
    <cellStyle name="Обычный 4 32 3" xfId="3880"/>
    <cellStyle name="Обычный 4 32 3 2" xfId="3881"/>
    <cellStyle name="Обычный 4 32 4" xfId="3882"/>
    <cellStyle name="Обычный 4 32 4 2" xfId="3883"/>
    <cellStyle name="Обычный 4 32 5" xfId="3884"/>
    <cellStyle name="Обычный 4 32 5 2" xfId="3885"/>
    <cellStyle name="Обычный 4 32 6" xfId="3886"/>
    <cellStyle name="Обычный 4 32 6 2" xfId="3887"/>
    <cellStyle name="Обычный 4 32 7" xfId="3888"/>
    <cellStyle name="Обычный 4 32 7 2" xfId="3889"/>
    <cellStyle name="Обычный 4 32 8" xfId="3890"/>
    <cellStyle name="Обычный 4 32 8 2" xfId="3891"/>
    <cellStyle name="Обычный 4 32 9" xfId="3892"/>
    <cellStyle name="Обычный 4 32 9 2" xfId="3893"/>
    <cellStyle name="Обычный 4 33" xfId="3894"/>
    <cellStyle name="Обычный 4 33 10" xfId="3895"/>
    <cellStyle name="Обычный 4 33 10 2" xfId="3896"/>
    <cellStyle name="Обычный 4 33 11" xfId="3897"/>
    <cellStyle name="Обычный 4 33 11 2" xfId="3898"/>
    <cellStyle name="Обычный 4 33 12" xfId="3899"/>
    <cellStyle name="Обычный 4 33 13" xfId="3900"/>
    <cellStyle name="Обычный 4 33 14" xfId="3901"/>
    <cellStyle name="Обычный 4 33 15" xfId="3902"/>
    <cellStyle name="Обычный 4 33 16" xfId="3903"/>
    <cellStyle name="Обычный 4 33 17" xfId="3904"/>
    <cellStyle name="Обычный 4 33 2" xfId="3905"/>
    <cellStyle name="Обычный 4 33 2 2" xfId="3906"/>
    <cellStyle name="Обычный 4 33 3" xfId="3907"/>
    <cellStyle name="Обычный 4 33 3 2" xfId="3908"/>
    <cellStyle name="Обычный 4 33 4" xfId="3909"/>
    <cellStyle name="Обычный 4 33 4 2" xfId="3910"/>
    <cellStyle name="Обычный 4 33 5" xfId="3911"/>
    <cellStyle name="Обычный 4 33 5 2" xfId="3912"/>
    <cellStyle name="Обычный 4 33 6" xfId="3913"/>
    <cellStyle name="Обычный 4 33 6 2" xfId="3914"/>
    <cellStyle name="Обычный 4 33 7" xfId="3915"/>
    <cellStyle name="Обычный 4 33 7 2" xfId="3916"/>
    <cellStyle name="Обычный 4 33 8" xfId="3917"/>
    <cellStyle name="Обычный 4 33 8 2" xfId="3918"/>
    <cellStyle name="Обычный 4 33 9" xfId="3919"/>
    <cellStyle name="Обычный 4 33 9 2" xfId="3920"/>
    <cellStyle name="Обычный 4 34" xfId="3921"/>
    <cellStyle name="Обычный 4 34 10" xfId="3922"/>
    <cellStyle name="Обычный 4 34 10 2" xfId="3923"/>
    <cellStyle name="Обычный 4 34 11" xfId="3924"/>
    <cellStyle name="Обычный 4 34 11 2" xfId="3925"/>
    <cellStyle name="Обычный 4 34 12" xfId="3926"/>
    <cellStyle name="Обычный 4 34 13" xfId="3927"/>
    <cellStyle name="Обычный 4 34 14" xfId="3928"/>
    <cellStyle name="Обычный 4 34 15" xfId="3929"/>
    <cellStyle name="Обычный 4 34 16" xfId="3930"/>
    <cellStyle name="Обычный 4 34 17" xfId="3931"/>
    <cellStyle name="Обычный 4 34 2" xfId="3932"/>
    <cellStyle name="Обычный 4 34 2 2" xfId="3933"/>
    <cellStyle name="Обычный 4 34 3" xfId="3934"/>
    <cellStyle name="Обычный 4 34 3 2" xfId="3935"/>
    <cellStyle name="Обычный 4 34 4" xfId="3936"/>
    <cellStyle name="Обычный 4 34 4 2" xfId="3937"/>
    <cellStyle name="Обычный 4 34 5" xfId="3938"/>
    <cellStyle name="Обычный 4 34 5 2" xfId="3939"/>
    <cellStyle name="Обычный 4 34 6" xfId="3940"/>
    <cellStyle name="Обычный 4 34 6 2" xfId="3941"/>
    <cellStyle name="Обычный 4 34 7" xfId="3942"/>
    <cellStyle name="Обычный 4 34 7 2" xfId="3943"/>
    <cellStyle name="Обычный 4 34 8" xfId="3944"/>
    <cellStyle name="Обычный 4 34 8 2" xfId="3945"/>
    <cellStyle name="Обычный 4 34 9" xfId="3946"/>
    <cellStyle name="Обычный 4 34 9 2" xfId="3947"/>
    <cellStyle name="Обычный 4 35" xfId="3948"/>
    <cellStyle name="Обычный 4 36" xfId="3949"/>
    <cellStyle name="Обычный 4 37" xfId="3950"/>
    <cellStyle name="Обычный 4 38" xfId="3951"/>
    <cellStyle name="Обычный 4 39" xfId="3952"/>
    <cellStyle name="Обычный 4 4" xfId="3953"/>
    <cellStyle name="Обычный 4 4 10" xfId="3954"/>
    <cellStyle name="Обычный 4 4 10 2" xfId="3955"/>
    <cellStyle name="Обычный 4 4 11" xfId="3956"/>
    <cellStyle name="Обычный 4 4 11 2" xfId="3957"/>
    <cellStyle name="Обычный 4 4 12" xfId="3958"/>
    <cellStyle name="Обычный 4 4 12 2" xfId="3959"/>
    <cellStyle name="Обычный 4 4 13" xfId="3960"/>
    <cellStyle name="Обычный 4 4 13 2" xfId="3961"/>
    <cellStyle name="Обычный 4 4 14" xfId="3962"/>
    <cellStyle name="Обычный 4 4 14 2" xfId="3963"/>
    <cellStyle name="Обычный 4 4 15" xfId="3964"/>
    <cellStyle name="Обычный 4 4 15 2" xfId="3965"/>
    <cellStyle name="Обычный 4 4 16" xfId="3966"/>
    <cellStyle name="Обычный 4 4 16 2" xfId="3967"/>
    <cellStyle name="Обычный 4 4 17" xfId="3968"/>
    <cellStyle name="Обычный 4 4 17 2" xfId="3969"/>
    <cellStyle name="Обычный 4 4 18" xfId="3970"/>
    <cellStyle name="Обычный 4 4 18 2" xfId="3971"/>
    <cellStyle name="Обычный 4 4 19" xfId="3972"/>
    <cellStyle name="Обычный 4 4 2" xfId="3973"/>
    <cellStyle name="Обычный 4 4 2 10" xfId="3974"/>
    <cellStyle name="Обычный 4 4 2 10 2" xfId="3975"/>
    <cellStyle name="Обычный 4 4 2 11" xfId="3976"/>
    <cellStyle name="Обычный 4 4 2 11 2" xfId="3977"/>
    <cellStyle name="Обычный 4 4 2 12" xfId="3978"/>
    <cellStyle name="Обычный 4 4 2 12 2" xfId="3979"/>
    <cellStyle name="Обычный 4 4 2 13" xfId="3980"/>
    <cellStyle name="Обычный 4 4 2 13 2" xfId="3981"/>
    <cellStyle name="Обычный 4 4 2 14" xfId="3982"/>
    <cellStyle name="Обычный 4 4 2 14 2" xfId="3983"/>
    <cellStyle name="Обычный 4 4 2 15" xfId="3984"/>
    <cellStyle name="Обычный 4 4 2 15 2" xfId="3985"/>
    <cellStyle name="Обычный 4 4 2 16" xfId="3986"/>
    <cellStyle name="Обычный 4 4 2 16 2" xfId="3987"/>
    <cellStyle name="Обычный 4 4 2 17" xfId="3988"/>
    <cellStyle name="Обычный 4 4 2 18" xfId="3989"/>
    <cellStyle name="Обычный 4 4 2 19" xfId="3990"/>
    <cellStyle name="Обычный 4 4 2 2" xfId="3991"/>
    <cellStyle name="Обычный 4 4 2 2 2" xfId="3992"/>
    <cellStyle name="Обычный 4 4 2 20" xfId="3993"/>
    <cellStyle name="Обычный 4 4 2 3" xfId="3994"/>
    <cellStyle name="Обычный 4 4 2 3 2" xfId="3995"/>
    <cellStyle name="Обычный 4 4 2 4" xfId="3996"/>
    <cellStyle name="Обычный 4 4 2 4 2" xfId="3997"/>
    <cellStyle name="Обычный 4 4 2 5" xfId="3998"/>
    <cellStyle name="Обычный 4 4 2 5 2" xfId="3999"/>
    <cellStyle name="Обычный 4 4 2 6" xfId="4000"/>
    <cellStyle name="Обычный 4 4 2 6 2" xfId="4001"/>
    <cellStyle name="Обычный 4 4 2 7" xfId="4002"/>
    <cellStyle name="Обычный 4 4 2 7 2" xfId="4003"/>
    <cellStyle name="Обычный 4 4 2 8" xfId="4004"/>
    <cellStyle name="Обычный 4 4 2 8 2" xfId="4005"/>
    <cellStyle name="Обычный 4 4 2 9" xfId="4006"/>
    <cellStyle name="Обычный 4 4 2 9 2" xfId="4007"/>
    <cellStyle name="Обычный 4 4 20" xfId="4008"/>
    <cellStyle name="Обычный 4 4 21" xfId="4009"/>
    <cellStyle name="Обычный 4 4 3" xfId="4010"/>
    <cellStyle name="Обычный 4 4 3 10" xfId="4011"/>
    <cellStyle name="Обычный 4 4 3 10 2" xfId="4012"/>
    <cellStyle name="Обычный 4 4 3 11" xfId="4013"/>
    <cellStyle name="Обычный 4 4 3 11 2" xfId="4014"/>
    <cellStyle name="Обычный 4 4 3 12" xfId="4015"/>
    <cellStyle name="Обычный 4 4 3 12 2" xfId="4016"/>
    <cellStyle name="Обычный 4 4 3 13" xfId="4017"/>
    <cellStyle name="Обычный 4 4 3 13 2" xfId="4018"/>
    <cellStyle name="Обычный 4 4 3 14" xfId="4019"/>
    <cellStyle name="Обычный 4 4 3 14 2" xfId="4020"/>
    <cellStyle name="Обычный 4 4 3 15" xfId="4021"/>
    <cellStyle name="Обычный 4 4 3 15 2" xfId="4022"/>
    <cellStyle name="Обычный 4 4 3 16" xfId="4023"/>
    <cellStyle name="Обычный 4 4 3 16 2" xfId="4024"/>
    <cellStyle name="Обычный 4 4 3 17" xfId="4025"/>
    <cellStyle name="Обычный 4 4 3 18" xfId="4026"/>
    <cellStyle name="Обычный 4 4 3 19" xfId="4027"/>
    <cellStyle name="Обычный 4 4 3 2" xfId="4028"/>
    <cellStyle name="Обычный 4 4 3 2 2" xfId="4029"/>
    <cellStyle name="Обычный 4 4 3 3" xfId="4030"/>
    <cellStyle name="Обычный 4 4 3 3 2" xfId="4031"/>
    <cellStyle name="Обычный 4 4 3 4" xfId="4032"/>
    <cellStyle name="Обычный 4 4 3 4 2" xfId="4033"/>
    <cellStyle name="Обычный 4 4 3 5" xfId="4034"/>
    <cellStyle name="Обычный 4 4 3 5 2" xfId="4035"/>
    <cellStyle name="Обычный 4 4 3 6" xfId="4036"/>
    <cellStyle name="Обычный 4 4 3 6 2" xfId="4037"/>
    <cellStyle name="Обычный 4 4 3 7" xfId="4038"/>
    <cellStyle name="Обычный 4 4 3 7 2" xfId="4039"/>
    <cellStyle name="Обычный 4 4 3 8" xfId="4040"/>
    <cellStyle name="Обычный 4 4 3 8 2" xfId="4041"/>
    <cellStyle name="Обычный 4 4 3 9" xfId="4042"/>
    <cellStyle name="Обычный 4 4 3 9 2" xfId="4043"/>
    <cellStyle name="Обычный 4 4 4" xfId="4044"/>
    <cellStyle name="Обычный 4 4 4 2" xfId="4045"/>
    <cellStyle name="Обычный 4 4 5" xfId="4046"/>
    <cellStyle name="Обычный 4 4 5 2" xfId="4047"/>
    <cellStyle name="Обычный 4 4 6" xfId="4048"/>
    <cellStyle name="Обычный 4 4 6 2" xfId="4049"/>
    <cellStyle name="Обычный 4 4 7" xfId="4050"/>
    <cellStyle name="Обычный 4 4 7 2" xfId="4051"/>
    <cellStyle name="Обычный 4 4 8" xfId="4052"/>
    <cellStyle name="Обычный 4 4 8 2" xfId="4053"/>
    <cellStyle name="Обычный 4 4 9" xfId="4054"/>
    <cellStyle name="Обычный 4 4 9 2" xfId="4055"/>
    <cellStyle name="Обычный 4 40" xfId="4056"/>
    <cellStyle name="Обычный 4 41" xfId="4057"/>
    <cellStyle name="Обычный 4 42" xfId="4058"/>
    <cellStyle name="Обычный 4 43" xfId="4059"/>
    <cellStyle name="Обычный 4 44" xfId="4060"/>
    <cellStyle name="Обычный 4 45" xfId="4061"/>
    <cellStyle name="Обычный 4 5" xfId="4062"/>
    <cellStyle name="Обычный 4 5 10" xfId="4063"/>
    <cellStyle name="Обычный 4 5 10 2" xfId="4064"/>
    <cellStyle name="Обычный 4 5 11" xfId="4065"/>
    <cellStyle name="Обычный 4 5 11 2" xfId="4066"/>
    <cellStyle name="Обычный 4 5 12" xfId="4067"/>
    <cellStyle name="Обычный 4 5 12 2" xfId="4068"/>
    <cellStyle name="Обычный 4 5 13" xfId="4069"/>
    <cellStyle name="Обычный 4 5 13 2" xfId="4070"/>
    <cellStyle name="Обычный 4 5 14" xfId="4071"/>
    <cellStyle name="Обычный 4 5 14 2" xfId="4072"/>
    <cellStyle name="Обычный 4 5 15" xfId="4073"/>
    <cellStyle name="Обычный 4 5 15 2" xfId="4074"/>
    <cellStyle name="Обычный 4 5 16" xfId="4075"/>
    <cellStyle name="Обычный 4 5 16 2" xfId="4076"/>
    <cellStyle name="Обычный 4 5 17" xfId="4077"/>
    <cellStyle name="Обычный 4 5 17 2" xfId="4078"/>
    <cellStyle name="Обычный 4 5 18" xfId="4079"/>
    <cellStyle name="Обычный 4 5 18 2" xfId="4080"/>
    <cellStyle name="Обычный 4 5 19" xfId="4081"/>
    <cellStyle name="Обычный 4 5 2" xfId="4082"/>
    <cellStyle name="Обычный 4 5 2 10" xfId="4083"/>
    <cellStyle name="Обычный 4 5 2 10 2" xfId="4084"/>
    <cellStyle name="Обычный 4 5 2 11" xfId="4085"/>
    <cellStyle name="Обычный 4 5 2 11 2" xfId="4086"/>
    <cellStyle name="Обычный 4 5 2 12" xfId="4087"/>
    <cellStyle name="Обычный 4 5 2 12 2" xfId="4088"/>
    <cellStyle name="Обычный 4 5 2 13" xfId="4089"/>
    <cellStyle name="Обычный 4 5 2 13 2" xfId="4090"/>
    <cellStyle name="Обычный 4 5 2 14" xfId="4091"/>
    <cellStyle name="Обычный 4 5 2 14 2" xfId="4092"/>
    <cellStyle name="Обычный 4 5 2 15" xfId="4093"/>
    <cellStyle name="Обычный 4 5 2 15 2" xfId="4094"/>
    <cellStyle name="Обычный 4 5 2 16" xfId="4095"/>
    <cellStyle name="Обычный 4 5 2 16 2" xfId="4096"/>
    <cellStyle name="Обычный 4 5 2 17" xfId="4097"/>
    <cellStyle name="Обычный 4 5 2 18" xfId="4098"/>
    <cellStyle name="Обычный 4 5 2 19" xfId="4099"/>
    <cellStyle name="Обычный 4 5 2 2" xfId="4100"/>
    <cellStyle name="Обычный 4 5 2 2 2" xfId="4101"/>
    <cellStyle name="Обычный 4 5 2 20" xfId="4102"/>
    <cellStyle name="Обычный 4 5 2 3" xfId="4103"/>
    <cellStyle name="Обычный 4 5 2 3 2" xfId="4104"/>
    <cellStyle name="Обычный 4 5 2 4" xfId="4105"/>
    <cellStyle name="Обычный 4 5 2 4 2" xfId="4106"/>
    <cellStyle name="Обычный 4 5 2 5" xfId="4107"/>
    <cellStyle name="Обычный 4 5 2 5 2" xfId="4108"/>
    <cellStyle name="Обычный 4 5 2 6" xfId="4109"/>
    <cellStyle name="Обычный 4 5 2 6 2" xfId="4110"/>
    <cellStyle name="Обычный 4 5 2 7" xfId="4111"/>
    <cellStyle name="Обычный 4 5 2 7 2" xfId="4112"/>
    <cellStyle name="Обычный 4 5 2 8" xfId="4113"/>
    <cellStyle name="Обычный 4 5 2 8 2" xfId="4114"/>
    <cellStyle name="Обычный 4 5 2 9" xfId="4115"/>
    <cellStyle name="Обычный 4 5 2 9 2" xfId="4116"/>
    <cellStyle name="Обычный 4 5 20" xfId="4117"/>
    <cellStyle name="Обычный 4 5 21" xfId="4118"/>
    <cellStyle name="Обычный 4 5 3" xfId="4119"/>
    <cellStyle name="Обычный 4 5 3 10" xfId="4120"/>
    <cellStyle name="Обычный 4 5 3 10 2" xfId="4121"/>
    <cellStyle name="Обычный 4 5 3 11" xfId="4122"/>
    <cellStyle name="Обычный 4 5 3 11 2" xfId="4123"/>
    <cellStyle name="Обычный 4 5 3 12" xfId="4124"/>
    <cellStyle name="Обычный 4 5 3 12 2" xfId="4125"/>
    <cellStyle name="Обычный 4 5 3 13" xfId="4126"/>
    <cellStyle name="Обычный 4 5 3 13 2" xfId="4127"/>
    <cellStyle name="Обычный 4 5 3 14" xfId="4128"/>
    <cellStyle name="Обычный 4 5 3 14 2" xfId="4129"/>
    <cellStyle name="Обычный 4 5 3 15" xfId="4130"/>
    <cellStyle name="Обычный 4 5 3 15 2" xfId="4131"/>
    <cellStyle name="Обычный 4 5 3 16" xfId="4132"/>
    <cellStyle name="Обычный 4 5 3 16 2" xfId="4133"/>
    <cellStyle name="Обычный 4 5 3 17" xfId="4134"/>
    <cellStyle name="Обычный 4 5 3 18" xfId="4135"/>
    <cellStyle name="Обычный 4 5 3 19" xfId="4136"/>
    <cellStyle name="Обычный 4 5 3 2" xfId="4137"/>
    <cellStyle name="Обычный 4 5 3 2 2" xfId="4138"/>
    <cellStyle name="Обычный 4 5 3 3" xfId="4139"/>
    <cellStyle name="Обычный 4 5 3 3 2" xfId="4140"/>
    <cellStyle name="Обычный 4 5 3 4" xfId="4141"/>
    <cellStyle name="Обычный 4 5 3 4 2" xfId="4142"/>
    <cellStyle name="Обычный 4 5 3 5" xfId="4143"/>
    <cellStyle name="Обычный 4 5 3 5 2" xfId="4144"/>
    <cellStyle name="Обычный 4 5 3 6" xfId="4145"/>
    <cellStyle name="Обычный 4 5 3 6 2" xfId="4146"/>
    <cellStyle name="Обычный 4 5 3 7" xfId="4147"/>
    <cellStyle name="Обычный 4 5 3 7 2" xfId="4148"/>
    <cellStyle name="Обычный 4 5 3 8" xfId="4149"/>
    <cellStyle name="Обычный 4 5 3 8 2" xfId="4150"/>
    <cellStyle name="Обычный 4 5 3 9" xfId="4151"/>
    <cellStyle name="Обычный 4 5 3 9 2" xfId="4152"/>
    <cellStyle name="Обычный 4 5 4" xfId="4153"/>
    <cellStyle name="Обычный 4 5 4 2" xfId="4154"/>
    <cellStyle name="Обычный 4 5 5" xfId="4155"/>
    <cellStyle name="Обычный 4 5 5 2" xfId="4156"/>
    <cellStyle name="Обычный 4 5 6" xfId="4157"/>
    <cellStyle name="Обычный 4 5 6 2" xfId="4158"/>
    <cellStyle name="Обычный 4 5 7" xfId="4159"/>
    <cellStyle name="Обычный 4 5 7 2" xfId="4160"/>
    <cellStyle name="Обычный 4 5 8" xfId="4161"/>
    <cellStyle name="Обычный 4 5 8 2" xfId="4162"/>
    <cellStyle name="Обычный 4 5 9" xfId="4163"/>
    <cellStyle name="Обычный 4 5 9 2" xfId="4164"/>
    <cellStyle name="Обычный 4 6" xfId="4165"/>
    <cellStyle name="Обычный 4 6 10" xfId="4166"/>
    <cellStyle name="Обычный 4 6 10 2" xfId="4167"/>
    <cellStyle name="Обычный 4 6 11" xfId="4168"/>
    <cellStyle name="Обычный 4 6 11 2" xfId="4169"/>
    <cellStyle name="Обычный 4 6 12" xfId="4170"/>
    <cellStyle name="Обычный 4 6 12 2" xfId="4171"/>
    <cellStyle name="Обычный 4 6 13" xfId="4172"/>
    <cellStyle name="Обычный 4 6 13 2" xfId="4173"/>
    <cellStyle name="Обычный 4 6 14" xfId="4174"/>
    <cellStyle name="Обычный 4 6 14 2" xfId="4175"/>
    <cellStyle name="Обычный 4 6 15" xfId="4176"/>
    <cellStyle name="Обычный 4 6 15 2" xfId="4177"/>
    <cellStyle name="Обычный 4 6 16" xfId="4178"/>
    <cellStyle name="Обычный 4 6 16 2" xfId="4179"/>
    <cellStyle name="Обычный 4 6 17" xfId="4180"/>
    <cellStyle name="Обычный 4 6 17 2" xfId="4181"/>
    <cellStyle name="Обычный 4 6 18" xfId="4182"/>
    <cellStyle name="Обычный 4 6 18 2" xfId="4183"/>
    <cellStyle name="Обычный 4 6 19" xfId="4184"/>
    <cellStyle name="Обычный 4 6 2" xfId="4185"/>
    <cellStyle name="Обычный 4 6 2 10" xfId="4186"/>
    <cellStyle name="Обычный 4 6 2 10 2" xfId="4187"/>
    <cellStyle name="Обычный 4 6 2 11" xfId="4188"/>
    <cellStyle name="Обычный 4 6 2 11 2" xfId="4189"/>
    <cellStyle name="Обычный 4 6 2 12" xfId="4190"/>
    <cellStyle name="Обычный 4 6 2 12 2" xfId="4191"/>
    <cellStyle name="Обычный 4 6 2 13" xfId="4192"/>
    <cellStyle name="Обычный 4 6 2 13 2" xfId="4193"/>
    <cellStyle name="Обычный 4 6 2 14" xfId="4194"/>
    <cellStyle name="Обычный 4 6 2 14 2" xfId="4195"/>
    <cellStyle name="Обычный 4 6 2 15" xfId="4196"/>
    <cellStyle name="Обычный 4 6 2 15 2" xfId="4197"/>
    <cellStyle name="Обычный 4 6 2 16" xfId="4198"/>
    <cellStyle name="Обычный 4 6 2 16 2" xfId="4199"/>
    <cellStyle name="Обычный 4 6 2 17" xfId="4200"/>
    <cellStyle name="Обычный 4 6 2 18" xfId="4201"/>
    <cellStyle name="Обычный 4 6 2 19" xfId="4202"/>
    <cellStyle name="Обычный 4 6 2 2" xfId="4203"/>
    <cellStyle name="Обычный 4 6 2 2 2" xfId="4204"/>
    <cellStyle name="Обычный 4 6 2 20" xfId="4205"/>
    <cellStyle name="Обычный 4 6 2 3" xfId="4206"/>
    <cellStyle name="Обычный 4 6 2 3 2" xfId="4207"/>
    <cellStyle name="Обычный 4 6 2 4" xfId="4208"/>
    <cellStyle name="Обычный 4 6 2 4 2" xfId="4209"/>
    <cellStyle name="Обычный 4 6 2 5" xfId="4210"/>
    <cellStyle name="Обычный 4 6 2 5 2" xfId="4211"/>
    <cellStyle name="Обычный 4 6 2 6" xfId="4212"/>
    <cellStyle name="Обычный 4 6 2 6 2" xfId="4213"/>
    <cellStyle name="Обычный 4 6 2 7" xfId="4214"/>
    <cellStyle name="Обычный 4 6 2 7 2" xfId="4215"/>
    <cellStyle name="Обычный 4 6 2 8" xfId="4216"/>
    <cellStyle name="Обычный 4 6 2 8 2" xfId="4217"/>
    <cellStyle name="Обычный 4 6 2 9" xfId="4218"/>
    <cellStyle name="Обычный 4 6 2 9 2" xfId="4219"/>
    <cellStyle name="Обычный 4 6 20" xfId="4220"/>
    <cellStyle name="Обычный 4 6 21" xfId="4221"/>
    <cellStyle name="Обычный 4 6 3" xfId="4222"/>
    <cellStyle name="Обычный 4 6 3 10" xfId="4223"/>
    <cellStyle name="Обычный 4 6 3 10 2" xfId="4224"/>
    <cellStyle name="Обычный 4 6 3 11" xfId="4225"/>
    <cellStyle name="Обычный 4 6 3 11 2" xfId="4226"/>
    <cellStyle name="Обычный 4 6 3 12" xfId="4227"/>
    <cellStyle name="Обычный 4 6 3 12 2" xfId="4228"/>
    <cellStyle name="Обычный 4 6 3 13" xfId="4229"/>
    <cellStyle name="Обычный 4 6 3 13 2" xfId="4230"/>
    <cellStyle name="Обычный 4 6 3 14" xfId="4231"/>
    <cellStyle name="Обычный 4 6 3 14 2" xfId="4232"/>
    <cellStyle name="Обычный 4 6 3 15" xfId="4233"/>
    <cellStyle name="Обычный 4 6 3 15 2" xfId="4234"/>
    <cellStyle name="Обычный 4 6 3 16" xfId="4235"/>
    <cellStyle name="Обычный 4 6 3 16 2" xfId="4236"/>
    <cellStyle name="Обычный 4 6 3 17" xfId="4237"/>
    <cellStyle name="Обычный 4 6 3 18" xfId="4238"/>
    <cellStyle name="Обычный 4 6 3 19" xfId="4239"/>
    <cellStyle name="Обычный 4 6 3 2" xfId="4240"/>
    <cellStyle name="Обычный 4 6 3 2 2" xfId="4241"/>
    <cellStyle name="Обычный 4 6 3 3" xfId="4242"/>
    <cellStyle name="Обычный 4 6 3 3 2" xfId="4243"/>
    <cellStyle name="Обычный 4 6 3 4" xfId="4244"/>
    <cellStyle name="Обычный 4 6 3 4 2" xfId="4245"/>
    <cellStyle name="Обычный 4 6 3 5" xfId="4246"/>
    <cellStyle name="Обычный 4 6 3 5 2" xfId="4247"/>
    <cellStyle name="Обычный 4 6 3 6" xfId="4248"/>
    <cellStyle name="Обычный 4 6 3 6 2" xfId="4249"/>
    <cellStyle name="Обычный 4 6 3 7" xfId="4250"/>
    <cellStyle name="Обычный 4 6 3 7 2" xfId="4251"/>
    <cellStyle name="Обычный 4 6 3 8" xfId="4252"/>
    <cellStyle name="Обычный 4 6 3 8 2" xfId="4253"/>
    <cellStyle name="Обычный 4 6 3 9" xfId="4254"/>
    <cellStyle name="Обычный 4 6 3 9 2" xfId="4255"/>
    <cellStyle name="Обычный 4 6 4" xfId="4256"/>
    <cellStyle name="Обычный 4 6 4 2" xfId="4257"/>
    <cellStyle name="Обычный 4 6 5" xfId="4258"/>
    <cellStyle name="Обычный 4 6 5 2" xfId="4259"/>
    <cellStyle name="Обычный 4 6 6" xfId="4260"/>
    <cellStyle name="Обычный 4 6 6 2" xfId="4261"/>
    <cellStyle name="Обычный 4 6 7" xfId="4262"/>
    <cellStyle name="Обычный 4 6 7 2" xfId="4263"/>
    <cellStyle name="Обычный 4 6 8" xfId="4264"/>
    <cellStyle name="Обычный 4 6 8 2" xfId="4265"/>
    <cellStyle name="Обычный 4 6 9" xfId="4266"/>
    <cellStyle name="Обычный 4 6 9 2" xfId="4267"/>
    <cellStyle name="Обычный 4 7" xfId="4268"/>
    <cellStyle name="Обычный 4 7 10" xfId="4269"/>
    <cellStyle name="Обычный 4 7 10 2" xfId="4270"/>
    <cellStyle name="Обычный 4 7 11" xfId="4271"/>
    <cellStyle name="Обычный 4 7 11 2" xfId="4272"/>
    <cellStyle name="Обычный 4 7 12" xfId="4273"/>
    <cellStyle name="Обычный 4 7 12 2" xfId="4274"/>
    <cellStyle name="Обычный 4 7 13" xfId="4275"/>
    <cellStyle name="Обычный 4 7 13 2" xfId="4276"/>
    <cellStyle name="Обычный 4 7 14" xfId="4277"/>
    <cellStyle name="Обычный 4 7 14 2" xfId="4278"/>
    <cellStyle name="Обычный 4 7 15" xfId="4279"/>
    <cellStyle name="Обычный 4 7 15 2" xfId="4280"/>
    <cellStyle name="Обычный 4 7 16" xfId="4281"/>
    <cellStyle name="Обычный 4 7 16 2" xfId="4282"/>
    <cellStyle name="Обычный 4 7 17" xfId="4283"/>
    <cellStyle name="Обычный 4 7 17 2" xfId="4284"/>
    <cellStyle name="Обычный 4 7 18" xfId="4285"/>
    <cellStyle name="Обычный 4 7 18 2" xfId="4286"/>
    <cellStyle name="Обычный 4 7 19" xfId="4287"/>
    <cellStyle name="Обычный 4 7 2" xfId="4288"/>
    <cellStyle name="Обычный 4 7 2 10" xfId="4289"/>
    <cellStyle name="Обычный 4 7 2 10 2" xfId="4290"/>
    <cellStyle name="Обычный 4 7 2 11" xfId="4291"/>
    <cellStyle name="Обычный 4 7 2 11 2" xfId="4292"/>
    <cellStyle name="Обычный 4 7 2 12" xfId="4293"/>
    <cellStyle name="Обычный 4 7 2 12 2" xfId="4294"/>
    <cellStyle name="Обычный 4 7 2 13" xfId="4295"/>
    <cellStyle name="Обычный 4 7 2 13 2" xfId="4296"/>
    <cellStyle name="Обычный 4 7 2 14" xfId="4297"/>
    <cellStyle name="Обычный 4 7 2 14 2" xfId="4298"/>
    <cellStyle name="Обычный 4 7 2 15" xfId="4299"/>
    <cellStyle name="Обычный 4 7 2 15 2" xfId="4300"/>
    <cellStyle name="Обычный 4 7 2 16" xfId="4301"/>
    <cellStyle name="Обычный 4 7 2 16 2" xfId="4302"/>
    <cellStyle name="Обычный 4 7 2 17" xfId="4303"/>
    <cellStyle name="Обычный 4 7 2 18" xfId="4304"/>
    <cellStyle name="Обычный 4 7 2 19" xfId="4305"/>
    <cellStyle name="Обычный 4 7 2 2" xfId="4306"/>
    <cellStyle name="Обычный 4 7 2 2 2" xfId="4307"/>
    <cellStyle name="Обычный 4 7 2 20" xfId="4308"/>
    <cellStyle name="Обычный 4 7 2 3" xfId="4309"/>
    <cellStyle name="Обычный 4 7 2 3 2" xfId="4310"/>
    <cellStyle name="Обычный 4 7 2 4" xfId="4311"/>
    <cellStyle name="Обычный 4 7 2 4 2" xfId="4312"/>
    <cellStyle name="Обычный 4 7 2 5" xfId="4313"/>
    <cellStyle name="Обычный 4 7 2 5 2" xfId="4314"/>
    <cellStyle name="Обычный 4 7 2 6" xfId="4315"/>
    <cellStyle name="Обычный 4 7 2 6 2" xfId="4316"/>
    <cellStyle name="Обычный 4 7 2 7" xfId="4317"/>
    <cellStyle name="Обычный 4 7 2 7 2" xfId="4318"/>
    <cellStyle name="Обычный 4 7 2 8" xfId="4319"/>
    <cellStyle name="Обычный 4 7 2 8 2" xfId="4320"/>
    <cellStyle name="Обычный 4 7 2 9" xfId="4321"/>
    <cellStyle name="Обычный 4 7 2 9 2" xfId="4322"/>
    <cellStyle name="Обычный 4 7 20" xfId="4323"/>
    <cellStyle name="Обычный 4 7 21" xfId="4324"/>
    <cellStyle name="Обычный 4 7 3" xfId="4325"/>
    <cellStyle name="Обычный 4 7 3 10" xfId="4326"/>
    <cellStyle name="Обычный 4 7 3 10 2" xfId="4327"/>
    <cellStyle name="Обычный 4 7 3 11" xfId="4328"/>
    <cellStyle name="Обычный 4 7 3 11 2" xfId="4329"/>
    <cellStyle name="Обычный 4 7 3 12" xfId="4330"/>
    <cellStyle name="Обычный 4 7 3 12 2" xfId="4331"/>
    <cellStyle name="Обычный 4 7 3 13" xfId="4332"/>
    <cellStyle name="Обычный 4 7 3 13 2" xfId="4333"/>
    <cellStyle name="Обычный 4 7 3 14" xfId="4334"/>
    <cellStyle name="Обычный 4 7 3 14 2" xfId="4335"/>
    <cellStyle name="Обычный 4 7 3 15" xfId="4336"/>
    <cellStyle name="Обычный 4 7 3 15 2" xfId="4337"/>
    <cellStyle name="Обычный 4 7 3 16" xfId="4338"/>
    <cellStyle name="Обычный 4 7 3 16 2" xfId="4339"/>
    <cellStyle name="Обычный 4 7 3 17" xfId="4340"/>
    <cellStyle name="Обычный 4 7 3 18" xfId="4341"/>
    <cellStyle name="Обычный 4 7 3 19" xfId="4342"/>
    <cellStyle name="Обычный 4 7 3 2" xfId="4343"/>
    <cellStyle name="Обычный 4 7 3 2 2" xfId="4344"/>
    <cellStyle name="Обычный 4 7 3 3" xfId="4345"/>
    <cellStyle name="Обычный 4 7 3 3 2" xfId="4346"/>
    <cellStyle name="Обычный 4 7 3 4" xfId="4347"/>
    <cellStyle name="Обычный 4 7 3 4 2" xfId="4348"/>
    <cellStyle name="Обычный 4 7 3 5" xfId="4349"/>
    <cellStyle name="Обычный 4 7 3 5 2" xfId="4350"/>
    <cellStyle name="Обычный 4 7 3 6" xfId="4351"/>
    <cellStyle name="Обычный 4 7 3 6 2" xfId="4352"/>
    <cellStyle name="Обычный 4 7 3 7" xfId="4353"/>
    <cellStyle name="Обычный 4 7 3 7 2" xfId="4354"/>
    <cellStyle name="Обычный 4 7 3 8" xfId="4355"/>
    <cellStyle name="Обычный 4 7 3 8 2" xfId="4356"/>
    <cellStyle name="Обычный 4 7 3 9" xfId="4357"/>
    <cellStyle name="Обычный 4 7 3 9 2" xfId="4358"/>
    <cellStyle name="Обычный 4 7 4" xfId="4359"/>
    <cellStyle name="Обычный 4 7 4 2" xfId="4360"/>
    <cellStyle name="Обычный 4 7 5" xfId="4361"/>
    <cellStyle name="Обычный 4 7 5 2" xfId="4362"/>
    <cellStyle name="Обычный 4 7 6" xfId="4363"/>
    <cellStyle name="Обычный 4 7 6 2" xfId="4364"/>
    <cellStyle name="Обычный 4 7 7" xfId="4365"/>
    <cellStyle name="Обычный 4 7 7 2" xfId="4366"/>
    <cellStyle name="Обычный 4 7 8" xfId="4367"/>
    <cellStyle name="Обычный 4 7 8 2" xfId="4368"/>
    <cellStyle name="Обычный 4 7 9" xfId="4369"/>
    <cellStyle name="Обычный 4 7 9 2" xfId="4370"/>
    <cellStyle name="Обычный 4 8" xfId="4371"/>
    <cellStyle name="Обычный 4 8 10" xfId="4372"/>
    <cellStyle name="Обычный 4 8 10 2" xfId="4373"/>
    <cellStyle name="Обычный 4 8 11" xfId="4374"/>
    <cellStyle name="Обычный 4 8 11 2" xfId="4375"/>
    <cellStyle name="Обычный 4 8 12" xfId="4376"/>
    <cellStyle name="Обычный 4 8 12 2" xfId="4377"/>
    <cellStyle name="Обычный 4 8 13" xfId="4378"/>
    <cellStyle name="Обычный 4 8 13 2" xfId="4379"/>
    <cellStyle name="Обычный 4 8 14" xfId="4380"/>
    <cellStyle name="Обычный 4 8 14 2" xfId="4381"/>
    <cellStyle name="Обычный 4 8 15" xfId="4382"/>
    <cellStyle name="Обычный 4 8 15 2" xfId="4383"/>
    <cellStyle name="Обычный 4 8 16" xfId="4384"/>
    <cellStyle name="Обычный 4 8 16 2" xfId="4385"/>
    <cellStyle name="Обычный 4 8 17" xfId="4386"/>
    <cellStyle name="Обычный 4 8 17 2" xfId="4387"/>
    <cellStyle name="Обычный 4 8 18" xfId="4388"/>
    <cellStyle name="Обычный 4 8 18 2" xfId="4389"/>
    <cellStyle name="Обычный 4 8 19" xfId="4390"/>
    <cellStyle name="Обычный 4 8 2" xfId="4391"/>
    <cellStyle name="Обычный 4 8 2 10" xfId="4392"/>
    <cellStyle name="Обычный 4 8 2 10 2" xfId="4393"/>
    <cellStyle name="Обычный 4 8 2 11" xfId="4394"/>
    <cellStyle name="Обычный 4 8 2 11 2" xfId="4395"/>
    <cellStyle name="Обычный 4 8 2 12" xfId="4396"/>
    <cellStyle name="Обычный 4 8 2 12 2" xfId="4397"/>
    <cellStyle name="Обычный 4 8 2 13" xfId="4398"/>
    <cellStyle name="Обычный 4 8 2 13 2" xfId="4399"/>
    <cellStyle name="Обычный 4 8 2 14" xfId="4400"/>
    <cellStyle name="Обычный 4 8 2 14 2" xfId="4401"/>
    <cellStyle name="Обычный 4 8 2 15" xfId="4402"/>
    <cellStyle name="Обычный 4 8 2 15 2" xfId="4403"/>
    <cellStyle name="Обычный 4 8 2 16" xfId="4404"/>
    <cellStyle name="Обычный 4 8 2 16 2" xfId="4405"/>
    <cellStyle name="Обычный 4 8 2 17" xfId="4406"/>
    <cellStyle name="Обычный 4 8 2 18" xfId="4407"/>
    <cellStyle name="Обычный 4 8 2 19" xfId="4408"/>
    <cellStyle name="Обычный 4 8 2 2" xfId="4409"/>
    <cellStyle name="Обычный 4 8 2 2 2" xfId="4410"/>
    <cellStyle name="Обычный 4 8 2 20" xfId="4411"/>
    <cellStyle name="Обычный 4 8 2 3" xfId="4412"/>
    <cellStyle name="Обычный 4 8 2 3 2" xfId="4413"/>
    <cellStyle name="Обычный 4 8 2 4" xfId="4414"/>
    <cellStyle name="Обычный 4 8 2 4 2" xfId="4415"/>
    <cellStyle name="Обычный 4 8 2 5" xfId="4416"/>
    <cellStyle name="Обычный 4 8 2 5 2" xfId="4417"/>
    <cellStyle name="Обычный 4 8 2 6" xfId="4418"/>
    <cellStyle name="Обычный 4 8 2 6 2" xfId="4419"/>
    <cellStyle name="Обычный 4 8 2 7" xfId="4420"/>
    <cellStyle name="Обычный 4 8 2 7 2" xfId="4421"/>
    <cellStyle name="Обычный 4 8 2 8" xfId="4422"/>
    <cellStyle name="Обычный 4 8 2 8 2" xfId="4423"/>
    <cellStyle name="Обычный 4 8 2 9" xfId="4424"/>
    <cellStyle name="Обычный 4 8 2 9 2" xfId="4425"/>
    <cellStyle name="Обычный 4 8 20" xfId="4426"/>
    <cellStyle name="Обычный 4 8 21" xfId="4427"/>
    <cellStyle name="Обычный 4 8 3" xfId="4428"/>
    <cellStyle name="Обычный 4 8 3 10" xfId="4429"/>
    <cellStyle name="Обычный 4 8 3 10 2" xfId="4430"/>
    <cellStyle name="Обычный 4 8 3 11" xfId="4431"/>
    <cellStyle name="Обычный 4 8 3 11 2" xfId="4432"/>
    <cellStyle name="Обычный 4 8 3 12" xfId="4433"/>
    <cellStyle name="Обычный 4 8 3 12 2" xfId="4434"/>
    <cellStyle name="Обычный 4 8 3 13" xfId="4435"/>
    <cellStyle name="Обычный 4 8 3 13 2" xfId="4436"/>
    <cellStyle name="Обычный 4 8 3 14" xfId="4437"/>
    <cellStyle name="Обычный 4 8 3 14 2" xfId="4438"/>
    <cellStyle name="Обычный 4 8 3 15" xfId="4439"/>
    <cellStyle name="Обычный 4 8 3 15 2" xfId="4440"/>
    <cellStyle name="Обычный 4 8 3 16" xfId="4441"/>
    <cellStyle name="Обычный 4 8 3 16 2" xfId="4442"/>
    <cellStyle name="Обычный 4 8 3 17" xfId="4443"/>
    <cellStyle name="Обычный 4 8 3 18" xfId="4444"/>
    <cellStyle name="Обычный 4 8 3 19" xfId="4445"/>
    <cellStyle name="Обычный 4 8 3 2" xfId="4446"/>
    <cellStyle name="Обычный 4 8 3 2 2" xfId="4447"/>
    <cellStyle name="Обычный 4 8 3 3" xfId="4448"/>
    <cellStyle name="Обычный 4 8 3 3 2" xfId="4449"/>
    <cellStyle name="Обычный 4 8 3 4" xfId="4450"/>
    <cellStyle name="Обычный 4 8 3 4 2" xfId="4451"/>
    <cellStyle name="Обычный 4 8 3 5" xfId="4452"/>
    <cellStyle name="Обычный 4 8 3 5 2" xfId="4453"/>
    <cellStyle name="Обычный 4 8 3 6" xfId="4454"/>
    <cellStyle name="Обычный 4 8 3 6 2" xfId="4455"/>
    <cellStyle name="Обычный 4 8 3 7" xfId="4456"/>
    <cellStyle name="Обычный 4 8 3 7 2" xfId="4457"/>
    <cellStyle name="Обычный 4 8 3 8" xfId="4458"/>
    <cellStyle name="Обычный 4 8 3 8 2" xfId="4459"/>
    <cellStyle name="Обычный 4 8 3 9" xfId="4460"/>
    <cellStyle name="Обычный 4 8 3 9 2" xfId="4461"/>
    <cellStyle name="Обычный 4 8 4" xfId="4462"/>
    <cellStyle name="Обычный 4 8 4 2" xfId="4463"/>
    <cellStyle name="Обычный 4 8 5" xfId="4464"/>
    <cellStyle name="Обычный 4 8 5 2" xfId="4465"/>
    <cellStyle name="Обычный 4 8 6" xfId="4466"/>
    <cellStyle name="Обычный 4 8 6 2" xfId="4467"/>
    <cellStyle name="Обычный 4 8 7" xfId="4468"/>
    <cellStyle name="Обычный 4 8 7 2" xfId="4469"/>
    <cellStyle name="Обычный 4 8 8" xfId="4470"/>
    <cellStyle name="Обычный 4 8 8 2" xfId="4471"/>
    <cellStyle name="Обычный 4 8 9" xfId="4472"/>
    <cellStyle name="Обычный 4 8 9 2" xfId="4473"/>
    <cellStyle name="Обычный 4 9" xfId="4474"/>
    <cellStyle name="Обычный 4 9 10" xfId="4475"/>
    <cellStyle name="Обычный 4 9 10 2" xfId="4476"/>
    <cellStyle name="Обычный 4 9 11" xfId="4477"/>
    <cellStyle name="Обычный 4 9 11 2" xfId="4478"/>
    <cellStyle name="Обычный 4 9 12" xfId="4479"/>
    <cellStyle name="Обычный 4 9 12 2" xfId="4480"/>
    <cellStyle name="Обычный 4 9 13" xfId="4481"/>
    <cellStyle name="Обычный 4 9 13 2" xfId="4482"/>
    <cellStyle name="Обычный 4 9 14" xfId="4483"/>
    <cellStyle name="Обычный 4 9 14 2" xfId="4484"/>
    <cellStyle name="Обычный 4 9 15" xfId="4485"/>
    <cellStyle name="Обычный 4 9 15 2" xfId="4486"/>
    <cellStyle name="Обычный 4 9 16" xfId="4487"/>
    <cellStyle name="Обычный 4 9 16 2" xfId="4488"/>
    <cellStyle name="Обычный 4 9 17" xfId="4489"/>
    <cellStyle name="Обычный 4 9 17 2" xfId="4490"/>
    <cellStyle name="Обычный 4 9 18" xfId="4491"/>
    <cellStyle name="Обычный 4 9 18 2" xfId="4492"/>
    <cellStyle name="Обычный 4 9 19" xfId="4493"/>
    <cellStyle name="Обычный 4 9 2" xfId="4494"/>
    <cellStyle name="Обычный 4 9 2 10" xfId="4495"/>
    <cellStyle name="Обычный 4 9 2 10 2" xfId="4496"/>
    <cellStyle name="Обычный 4 9 2 11" xfId="4497"/>
    <cellStyle name="Обычный 4 9 2 11 2" xfId="4498"/>
    <cellStyle name="Обычный 4 9 2 12" xfId="4499"/>
    <cellStyle name="Обычный 4 9 2 12 2" xfId="4500"/>
    <cellStyle name="Обычный 4 9 2 13" xfId="4501"/>
    <cellStyle name="Обычный 4 9 2 13 2" xfId="4502"/>
    <cellStyle name="Обычный 4 9 2 14" xfId="4503"/>
    <cellStyle name="Обычный 4 9 2 14 2" xfId="4504"/>
    <cellStyle name="Обычный 4 9 2 15" xfId="4505"/>
    <cellStyle name="Обычный 4 9 2 15 2" xfId="4506"/>
    <cellStyle name="Обычный 4 9 2 16" xfId="4507"/>
    <cellStyle name="Обычный 4 9 2 16 2" xfId="4508"/>
    <cellStyle name="Обычный 4 9 2 17" xfId="4509"/>
    <cellStyle name="Обычный 4 9 2 18" xfId="4510"/>
    <cellStyle name="Обычный 4 9 2 19" xfId="4511"/>
    <cellStyle name="Обычный 4 9 2 2" xfId="4512"/>
    <cellStyle name="Обычный 4 9 2 2 2" xfId="4513"/>
    <cellStyle name="Обычный 4 9 2 20" xfId="4514"/>
    <cellStyle name="Обычный 4 9 2 3" xfId="4515"/>
    <cellStyle name="Обычный 4 9 2 3 2" xfId="4516"/>
    <cellStyle name="Обычный 4 9 2 4" xfId="4517"/>
    <cellStyle name="Обычный 4 9 2 4 2" xfId="4518"/>
    <cellStyle name="Обычный 4 9 2 5" xfId="4519"/>
    <cellStyle name="Обычный 4 9 2 5 2" xfId="4520"/>
    <cellStyle name="Обычный 4 9 2 6" xfId="4521"/>
    <cellStyle name="Обычный 4 9 2 6 2" xfId="4522"/>
    <cellStyle name="Обычный 4 9 2 7" xfId="4523"/>
    <cellStyle name="Обычный 4 9 2 7 2" xfId="4524"/>
    <cellStyle name="Обычный 4 9 2 8" xfId="4525"/>
    <cellStyle name="Обычный 4 9 2 8 2" xfId="4526"/>
    <cellStyle name="Обычный 4 9 2 9" xfId="4527"/>
    <cellStyle name="Обычный 4 9 2 9 2" xfId="4528"/>
    <cellStyle name="Обычный 4 9 20" xfId="4529"/>
    <cellStyle name="Обычный 4 9 21" xfId="4530"/>
    <cellStyle name="Обычный 4 9 3" xfId="4531"/>
    <cellStyle name="Обычный 4 9 3 10" xfId="4532"/>
    <cellStyle name="Обычный 4 9 3 10 2" xfId="4533"/>
    <cellStyle name="Обычный 4 9 3 11" xfId="4534"/>
    <cellStyle name="Обычный 4 9 3 11 2" xfId="4535"/>
    <cellStyle name="Обычный 4 9 3 12" xfId="4536"/>
    <cellStyle name="Обычный 4 9 3 12 2" xfId="4537"/>
    <cellStyle name="Обычный 4 9 3 13" xfId="4538"/>
    <cellStyle name="Обычный 4 9 3 13 2" xfId="4539"/>
    <cellStyle name="Обычный 4 9 3 14" xfId="4540"/>
    <cellStyle name="Обычный 4 9 3 14 2" xfId="4541"/>
    <cellStyle name="Обычный 4 9 3 15" xfId="4542"/>
    <cellStyle name="Обычный 4 9 3 15 2" xfId="4543"/>
    <cellStyle name="Обычный 4 9 3 16" xfId="4544"/>
    <cellStyle name="Обычный 4 9 3 16 2" xfId="4545"/>
    <cellStyle name="Обычный 4 9 3 17" xfId="4546"/>
    <cellStyle name="Обычный 4 9 3 18" xfId="4547"/>
    <cellStyle name="Обычный 4 9 3 19" xfId="4548"/>
    <cellStyle name="Обычный 4 9 3 2" xfId="4549"/>
    <cellStyle name="Обычный 4 9 3 2 2" xfId="4550"/>
    <cellStyle name="Обычный 4 9 3 3" xfId="4551"/>
    <cellStyle name="Обычный 4 9 3 3 2" xfId="4552"/>
    <cellStyle name="Обычный 4 9 3 4" xfId="4553"/>
    <cellStyle name="Обычный 4 9 3 4 2" xfId="4554"/>
    <cellStyle name="Обычный 4 9 3 5" xfId="4555"/>
    <cellStyle name="Обычный 4 9 3 5 2" xfId="4556"/>
    <cellStyle name="Обычный 4 9 3 6" xfId="4557"/>
    <cellStyle name="Обычный 4 9 3 6 2" xfId="4558"/>
    <cellStyle name="Обычный 4 9 3 7" xfId="4559"/>
    <cellStyle name="Обычный 4 9 3 7 2" xfId="4560"/>
    <cellStyle name="Обычный 4 9 3 8" xfId="4561"/>
    <cellStyle name="Обычный 4 9 3 8 2" xfId="4562"/>
    <cellStyle name="Обычный 4 9 3 9" xfId="4563"/>
    <cellStyle name="Обычный 4 9 3 9 2" xfId="4564"/>
    <cellStyle name="Обычный 4 9 4" xfId="4565"/>
    <cellStyle name="Обычный 4 9 4 2" xfId="4566"/>
    <cellStyle name="Обычный 4 9 5" xfId="4567"/>
    <cellStyle name="Обычный 4 9 5 2" xfId="4568"/>
    <cellStyle name="Обычный 4 9 6" xfId="4569"/>
    <cellStyle name="Обычный 4 9 6 2" xfId="4570"/>
    <cellStyle name="Обычный 4 9 7" xfId="4571"/>
    <cellStyle name="Обычный 4 9 7 2" xfId="4572"/>
    <cellStyle name="Обычный 4 9 8" xfId="4573"/>
    <cellStyle name="Обычный 4 9 8 2" xfId="4574"/>
    <cellStyle name="Обычный 4 9 9" xfId="4575"/>
    <cellStyle name="Обычный 4 9 9 2" xfId="4576"/>
    <cellStyle name="Обычный 40" xfId="4577"/>
    <cellStyle name="Обычный 40 2" xfId="4578"/>
    <cellStyle name="Обычный 41" xfId="4579"/>
    <cellStyle name="Обычный 41 2" xfId="4580"/>
    <cellStyle name="Обычный 42" xfId="4581"/>
    <cellStyle name="Обычный 42 2" xfId="4582"/>
    <cellStyle name="Обычный 43" xfId="4583"/>
    <cellStyle name="Обычный 43 2" xfId="4584"/>
    <cellStyle name="Обычный 44" xfId="4585"/>
    <cellStyle name="Обычный 45" xfId="4586"/>
    <cellStyle name="Обычный 46" xfId="4587"/>
    <cellStyle name="Обычный 47" xfId="4588"/>
    <cellStyle name="Обычный 48" xfId="4589"/>
    <cellStyle name="Обычный 49" xfId="4590"/>
    <cellStyle name="Обычный 5" xfId="4591"/>
    <cellStyle name="Обычный 5 10" xfId="4592"/>
    <cellStyle name="Обычный 5 11" xfId="4593"/>
    <cellStyle name="Обычный 5 12" xfId="4594"/>
    <cellStyle name="Обычный 5 13" xfId="4595"/>
    <cellStyle name="Обычный 5 14" xfId="4596"/>
    <cellStyle name="Обычный 5 15" xfId="4597"/>
    <cellStyle name="Обычный 5 16" xfId="4598"/>
    <cellStyle name="Обычный 5 17" xfId="4599"/>
    <cellStyle name="Обычный 5 18" xfId="4600"/>
    <cellStyle name="Обычный 5 19" xfId="4601"/>
    <cellStyle name="Обычный 5 2" xfId="4602"/>
    <cellStyle name="Обычный 5 20" xfId="4603"/>
    <cellStyle name="Обычный 5 21" xfId="4604"/>
    <cellStyle name="Обычный 5 22" xfId="4605"/>
    <cellStyle name="Обычный 5 23" xfId="4606"/>
    <cellStyle name="Обычный 5 24" xfId="4607"/>
    <cellStyle name="Обычный 5 25" xfId="4608"/>
    <cellStyle name="Обычный 5 26" xfId="4609"/>
    <cellStyle name="Обычный 5 27" xfId="4610"/>
    <cellStyle name="Обычный 5 28" xfId="4611"/>
    <cellStyle name="Обычный 5 29" xfId="4612"/>
    <cellStyle name="Обычный 5 3" xfId="4613"/>
    <cellStyle name="Обычный 5 30" xfId="4614"/>
    <cellStyle name="Обычный 5 31" xfId="4615"/>
    <cellStyle name="Обычный 5 32" xfId="4616"/>
    <cellStyle name="Обычный 5 33" xfId="4617"/>
    <cellStyle name="Обычный 5 34" xfId="4618"/>
    <cellStyle name="Обычный 5 35" xfId="4619"/>
    <cellStyle name="Обычный 5 36" xfId="4620"/>
    <cellStyle name="Обычный 5 37" xfId="4621"/>
    <cellStyle name="Обычный 5 38" xfId="4622"/>
    <cellStyle name="Обычный 5 39" xfId="4623"/>
    <cellStyle name="Обычный 5 4" xfId="4624"/>
    <cellStyle name="Обычный 5 40" xfId="4625"/>
    <cellStyle name="Обычный 5 41" xfId="4626"/>
    <cellStyle name="Обычный 5 42" xfId="4627"/>
    <cellStyle name="Обычный 5 43" xfId="4628"/>
    <cellStyle name="Обычный 5 44" xfId="4629"/>
    <cellStyle name="Обычный 5 45" xfId="4630"/>
    <cellStyle name="Обычный 5 46" xfId="4631"/>
    <cellStyle name="Обычный 5 47" xfId="4632"/>
    <cellStyle name="Обычный 5 48" xfId="4633"/>
    <cellStyle name="Обычный 5 49" xfId="4634"/>
    <cellStyle name="Обычный 5 5" xfId="4635"/>
    <cellStyle name="Обычный 5 50" xfId="4636"/>
    <cellStyle name="Обычный 5 51" xfId="4637"/>
    <cellStyle name="Обычный 5 52" xfId="4638"/>
    <cellStyle name="Обычный 5 53" xfId="4639"/>
    <cellStyle name="Обычный 5 54" xfId="4640"/>
    <cellStyle name="Обычный 5 55" xfId="4641"/>
    <cellStyle name="Обычный 5 56" xfId="4642"/>
    <cellStyle name="Обычный 5 57" xfId="4643"/>
    <cellStyle name="Обычный 5 58" xfId="4644"/>
    <cellStyle name="Обычный 5 59" xfId="4645"/>
    <cellStyle name="Обычный 5 6" xfId="4646"/>
    <cellStyle name="Обычный 5 60" xfId="4647"/>
    <cellStyle name="Обычный 5 61" xfId="4648"/>
    <cellStyle name="Обычный 5 62" xfId="4649"/>
    <cellStyle name="Обычный 5 63" xfId="4650"/>
    <cellStyle name="Обычный 5 64" xfId="4651"/>
    <cellStyle name="Обычный 5 65" xfId="4652"/>
    <cellStyle name="Обычный 5 66" xfId="4653"/>
    <cellStyle name="Обычный 5 67" xfId="4654"/>
    <cellStyle name="Обычный 5 68" xfId="4655"/>
    <cellStyle name="Обычный 5 69" xfId="4656"/>
    <cellStyle name="Обычный 5 7" xfId="4657"/>
    <cellStyle name="Обычный 5 70" xfId="4658"/>
    <cellStyle name="Обычный 5 71" xfId="4659"/>
    <cellStyle name="Обычный 5 72" xfId="4660"/>
    <cellStyle name="Обычный 5 73" xfId="4661"/>
    <cellStyle name="Обычный 5 74" xfId="4662"/>
    <cellStyle name="Обычный 5 8" xfId="4663"/>
    <cellStyle name="Обычный 5 9" xfId="4664"/>
    <cellStyle name="Обычный 50" xfId="4665"/>
    <cellStyle name="Обычный 51" xfId="4666"/>
    <cellStyle name="Обычный 52" xfId="4667"/>
    <cellStyle name="Обычный 53" xfId="7945"/>
    <cellStyle name="Обычный 54" xfId="7949"/>
    <cellStyle name="Обычный 55" xfId="4668"/>
    <cellStyle name="Обычный 6" xfId="4669"/>
    <cellStyle name="Обычный 6 10" xfId="4670"/>
    <cellStyle name="Обычный 6 11" xfId="4671"/>
    <cellStyle name="Обычный 6 12" xfId="4672"/>
    <cellStyle name="Обычный 6 13" xfId="4673"/>
    <cellStyle name="Обычный 6 14" xfId="4674"/>
    <cellStyle name="Обычный 6 15" xfId="4675"/>
    <cellStyle name="Обычный 6 16" xfId="4676"/>
    <cellStyle name="Обычный 6 17" xfId="4677"/>
    <cellStyle name="Обычный 6 18" xfId="4678"/>
    <cellStyle name="Обычный 6 19" xfId="4679"/>
    <cellStyle name="Обычный 6 2" xfId="4680"/>
    <cellStyle name="Обычный 6 20" xfId="4681"/>
    <cellStyle name="Обычный 6 21" xfId="4682"/>
    <cellStyle name="Обычный 6 22" xfId="4683"/>
    <cellStyle name="Обычный 6 23" xfId="4684"/>
    <cellStyle name="Обычный 6 24" xfId="4685"/>
    <cellStyle name="Обычный 6 25" xfId="4686"/>
    <cellStyle name="Обычный 6 26" xfId="4687"/>
    <cellStyle name="Обычный 6 27" xfId="4688"/>
    <cellStyle name="Обычный 6 28" xfId="4689"/>
    <cellStyle name="Обычный 6 29" xfId="4690"/>
    <cellStyle name="Обычный 6 3" xfId="4691"/>
    <cellStyle name="Обычный 6 30" xfId="4692"/>
    <cellStyle name="Обычный 6 31" xfId="4693"/>
    <cellStyle name="Обычный 6 32" xfId="4694"/>
    <cellStyle name="Обычный 6 33" xfId="4695"/>
    <cellStyle name="Обычный 6 34" xfId="4696"/>
    <cellStyle name="Обычный 6 35" xfId="4697"/>
    <cellStyle name="Обычный 6 36" xfId="4698"/>
    <cellStyle name="Обычный 6 37" xfId="4699"/>
    <cellStyle name="Обычный 6 38" xfId="4700"/>
    <cellStyle name="Обычный 6 39" xfId="4701"/>
    <cellStyle name="Обычный 6 4" xfId="4702"/>
    <cellStyle name="Обычный 6 40" xfId="4703"/>
    <cellStyle name="Обычный 6 41" xfId="4704"/>
    <cellStyle name="Обычный 6 42" xfId="4705"/>
    <cellStyle name="Обычный 6 43" xfId="4706"/>
    <cellStyle name="Обычный 6 44" xfId="4707"/>
    <cellStyle name="Обычный 6 45" xfId="4708"/>
    <cellStyle name="Обычный 6 46" xfId="4709"/>
    <cellStyle name="Обычный 6 47" xfId="4710"/>
    <cellStyle name="Обычный 6 48" xfId="4711"/>
    <cellStyle name="Обычный 6 49" xfId="4712"/>
    <cellStyle name="Обычный 6 5" xfId="4713"/>
    <cellStyle name="Обычный 6 50" xfId="4714"/>
    <cellStyle name="Обычный 6 51" xfId="4715"/>
    <cellStyle name="Обычный 6 52" xfId="4716"/>
    <cellStyle name="Обычный 6 53" xfId="4717"/>
    <cellStyle name="Обычный 6 54" xfId="4718"/>
    <cellStyle name="Обычный 6 55" xfId="4719"/>
    <cellStyle name="Обычный 6 56" xfId="4720"/>
    <cellStyle name="Обычный 6 57" xfId="4721"/>
    <cellStyle name="Обычный 6 58" xfId="4722"/>
    <cellStyle name="Обычный 6 59" xfId="4723"/>
    <cellStyle name="Обычный 6 6" xfId="4724"/>
    <cellStyle name="Обычный 6 60" xfId="4725"/>
    <cellStyle name="Обычный 6 61" xfId="4726"/>
    <cellStyle name="Обычный 6 62" xfId="4727"/>
    <cellStyle name="Обычный 6 63" xfId="4728"/>
    <cellStyle name="Обычный 6 64" xfId="4729"/>
    <cellStyle name="Обычный 6 65" xfId="4730"/>
    <cellStyle name="Обычный 6 66" xfId="4731"/>
    <cellStyle name="Обычный 6 67" xfId="4732"/>
    <cellStyle name="Обычный 6 68" xfId="4733"/>
    <cellStyle name="Обычный 6 69" xfId="4734"/>
    <cellStyle name="Обычный 6 7" xfId="4735"/>
    <cellStyle name="Обычный 6 70" xfId="4736"/>
    <cellStyle name="Обычный 6 71" xfId="4737"/>
    <cellStyle name="Обычный 6 72" xfId="4738"/>
    <cellStyle name="Обычный 6 73" xfId="4739"/>
    <cellStyle name="Обычный 6 74" xfId="4740"/>
    <cellStyle name="Обычный 6 8" xfId="4741"/>
    <cellStyle name="Обычный 6 9" xfId="4742"/>
    <cellStyle name="Обычный 60" xfId="4743"/>
    <cellStyle name="Обычный 64" xfId="4744"/>
    <cellStyle name="Обычный 7" xfId="4745"/>
    <cellStyle name="Обычный 7 10" xfId="4746"/>
    <cellStyle name="Обычный 7 11" xfId="4747"/>
    <cellStyle name="Обычный 7 12" xfId="4748"/>
    <cellStyle name="Обычный 7 13" xfId="4749"/>
    <cellStyle name="Обычный 7 14" xfId="4750"/>
    <cellStyle name="Обычный 7 15" xfId="4751"/>
    <cellStyle name="Обычный 7 16" xfId="4752"/>
    <cellStyle name="Обычный 7 17" xfId="4753"/>
    <cellStyle name="Обычный 7 18" xfId="4754"/>
    <cellStyle name="Обычный 7 19" xfId="4755"/>
    <cellStyle name="Обычный 7 2" xfId="4756"/>
    <cellStyle name="Обычный 7 20" xfId="4757"/>
    <cellStyle name="Обычный 7 21" xfId="4758"/>
    <cellStyle name="Обычный 7 22" xfId="4759"/>
    <cellStyle name="Обычный 7 23" xfId="4760"/>
    <cellStyle name="Обычный 7 24" xfId="4761"/>
    <cellStyle name="Обычный 7 25" xfId="4762"/>
    <cellStyle name="Обычный 7 26" xfId="4763"/>
    <cellStyle name="Обычный 7 27" xfId="4764"/>
    <cellStyle name="Обычный 7 28" xfId="4765"/>
    <cellStyle name="Обычный 7 29" xfId="4766"/>
    <cellStyle name="Обычный 7 3" xfId="4767"/>
    <cellStyle name="Обычный 7 30" xfId="4768"/>
    <cellStyle name="Обычный 7 31" xfId="4769"/>
    <cellStyle name="Обычный 7 32" xfId="4770"/>
    <cellStyle name="Обычный 7 33" xfId="4771"/>
    <cellStyle name="Обычный 7 34" xfId="4772"/>
    <cellStyle name="Обычный 7 35" xfId="4773"/>
    <cellStyle name="Обычный 7 36" xfId="4774"/>
    <cellStyle name="Обычный 7 37" xfId="4775"/>
    <cellStyle name="Обычный 7 38" xfId="4776"/>
    <cellStyle name="Обычный 7 39" xfId="4777"/>
    <cellStyle name="Обычный 7 4" xfId="4778"/>
    <cellStyle name="Обычный 7 40" xfId="4779"/>
    <cellStyle name="Обычный 7 41" xfId="4780"/>
    <cellStyle name="Обычный 7 42" xfId="4781"/>
    <cellStyle name="Обычный 7 43" xfId="4782"/>
    <cellStyle name="Обычный 7 44" xfId="4783"/>
    <cellStyle name="Обычный 7 45" xfId="4784"/>
    <cellStyle name="Обычный 7 46" xfId="4785"/>
    <cellStyle name="Обычный 7 47" xfId="4786"/>
    <cellStyle name="Обычный 7 48" xfId="4787"/>
    <cellStyle name="Обычный 7 49" xfId="4788"/>
    <cellStyle name="Обычный 7 5" xfId="4789"/>
    <cellStyle name="Обычный 7 50" xfId="4790"/>
    <cellStyle name="Обычный 7 51" xfId="4791"/>
    <cellStyle name="Обычный 7 52" xfId="4792"/>
    <cellStyle name="Обычный 7 53" xfId="4793"/>
    <cellStyle name="Обычный 7 54" xfId="4794"/>
    <cellStyle name="Обычный 7 55" xfId="4795"/>
    <cellStyle name="Обычный 7 56" xfId="4796"/>
    <cellStyle name="Обычный 7 57" xfId="4797"/>
    <cellStyle name="Обычный 7 58" xfId="4798"/>
    <cellStyle name="Обычный 7 59" xfId="4799"/>
    <cellStyle name="Обычный 7 6" xfId="4800"/>
    <cellStyle name="Обычный 7 60" xfId="4801"/>
    <cellStyle name="Обычный 7 61" xfId="4802"/>
    <cellStyle name="Обычный 7 62" xfId="4803"/>
    <cellStyle name="Обычный 7 63" xfId="4804"/>
    <cellStyle name="Обычный 7 64" xfId="4805"/>
    <cellStyle name="Обычный 7 65" xfId="4806"/>
    <cellStyle name="Обычный 7 66" xfId="4807"/>
    <cellStyle name="Обычный 7 67" xfId="4808"/>
    <cellStyle name="Обычный 7 68" xfId="4809"/>
    <cellStyle name="Обычный 7 69" xfId="4810"/>
    <cellStyle name="Обычный 7 7" xfId="4811"/>
    <cellStyle name="Обычный 7 70" xfId="4812"/>
    <cellStyle name="Обычный 7 71" xfId="4813"/>
    <cellStyle name="Обычный 7 72" xfId="4814"/>
    <cellStyle name="Обычный 7 73" xfId="4815"/>
    <cellStyle name="Обычный 7 74" xfId="4816"/>
    <cellStyle name="Обычный 7 8" xfId="4817"/>
    <cellStyle name="Обычный 7 9" xfId="4818"/>
    <cellStyle name="Обычный 8" xfId="4819"/>
    <cellStyle name="Обычный 8 10" xfId="4820"/>
    <cellStyle name="Обычный 8 11" xfId="4821"/>
    <cellStyle name="Обычный 8 12" xfId="4822"/>
    <cellStyle name="Обычный 8 13" xfId="4823"/>
    <cellStyle name="Обычный 8 14" xfId="4824"/>
    <cellStyle name="Обычный 8 15" xfId="4825"/>
    <cellStyle name="Обычный 8 16" xfId="4826"/>
    <cellStyle name="Обычный 8 17" xfId="4827"/>
    <cellStyle name="Обычный 8 18" xfId="4828"/>
    <cellStyle name="Обычный 8 19" xfId="4829"/>
    <cellStyle name="Обычный 8 2" xfId="4830"/>
    <cellStyle name="Обычный 8 20" xfId="4831"/>
    <cellStyle name="Обычный 8 21" xfId="4832"/>
    <cellStyle name="Обычный 8 22" xfId="4833"/>
    <cellStyle name="Обычный 8 23" xfId="4834"/>
    <cellStyle name="Обычный 8 24" xfId="4835"/>
    <cellStyle name="Обычный 8 25" xfId="4836"/>
    <cellStyle name="Обычный 8 26" xfId="4837"/>
    <cellStyle name="Обычный 8 27" xfId="4838"/>
    <cellStyle name="Обычный 8 28" xfId="4839"/>
    <cellStyle name="Обычный 8 29" xfId="4840"/>
    <cellStyle name="Обычный 8 3" xfId="4841"/>
    <cellStyle name="Обычный 8 30" xfId="4842"/>
    <cellStyle name="Обычный 8 31" xfId="4843"/>
    <cellStyle name="Обычный 8 32" xfId="4844"/>
    <cellStyle name="Обычный 8 33" xfId="4845"/>
    <cellStyle name="Обычный 8 34" xfId="4846"/>
    <cellStyle name="Обычный 8 35" xfId="4847"/>
    <cellStyle name="Обычный 8 36" xfId="4848"/>
    <cellStyle name="Обычный 8 37" xfId="4849"/>
    <cellStyle name="Обычный 8 38" xfId="4850"/>
    <cellStyle name="Обычный 8 39" xfId="4851"/>
    <cellStyle name="Обычный 8 4" xfId="4852"/>
    <cellStyle name="Обычный 8 40" xfId="4853"/>
    <cellStyle name="Обычный 8 41" xfId="4854"/>
    <cellStyle name="Обычный 8 42" xfId="4855"/>
    <cellStyle name="Обычный 8 43" xfId="4856"/>
    <cellStyle name="Обычный 8 44" xfId="4857"/>
    <cellStyle name="Обычный 8 45" xfId="4858"/>
    <cellStyle name="Обычный 8 46" xfId="4859"/>
    <cellStyle name="Обычный 8 47" xfId="4860"/>
    <cellStyle name="Обычный 8 48" xfId="4861"/>
    <cellStyle name="Обычный 8 49" xfId="4862"/>
    <cellStyle name="Обычный 8 5" xfId="4863"/>
    <cellStyle name="Обычный 8 50" xfId="4864"/>
    <cellStyle name="Обычный 8 51" xfId="4865"/>
    <cellStyle name="Обычный 8 52" xfId="4866"/>
    <cellStyle name="Обычный 8 53" xfId="4867"/>
    <cellStyle name="Обычный 8 54" xfId="4868"/>
    <cellStyle name="Обычный 8 55" xfId="4869"/>
    <cellStyle name="Обычный 8 56" xfId="4870"/>
    <cellStyle name="Обычный 8 57" xfId="4871"/>
    <cellStyle name="Обычный 8 58" xfId="4872"/>
    <cellStyle name="Обычный 8 59" xfId="4873"/>
    <cellStyle name="Обычный 8 6" xfId="4874"/>
    <cellStyle name="Обычный 8 60" xfId="4875"/>
    <cellStyle name="Обычный 8 61" xfId="4876"/>
    <cellStyle name="Обычный 8 62" xfId="4877"/>
    <cellStyle name="Обычный 8 63" xfId="4878"/>
    <cellStyle name="Обычный 8 64" xfId="4879"/>
    <cellStyle name="Обычный 8 65" xfId="4880"/>
    <cellStyle name="Обычный 8 66" xfId="4881"/>
    <cellStyle name="Обычный 8 67" xfId="4882"/>
    <cellStyle name="Обычный 8 68" xfId="4883"/>
    <cellStyle name="Обычный 8 69" xfId="4884"/>
    <cellStyle name="Обычный 8 7" xfId="4885"/>
    <cellStyle name="Обычный 8 70" xfId="4886"/>
    <cellStyle name="Обычный 8 71" xfId="4887"/>
    <cellStyle name="Обычный 8 72" xfId="4888"/>
    <cellStyle name="Обычный 8 73" xfId="4889"/>
    <cellStyle name="Обычный 8 74" xfId="4890"/>
    <cellStyle name="Обычный 8 8" xfId="4891"/>
    <cellStyle name="Обычный 8 9" xfId="4892"/>
    <cellStyle name="Обычный 9" xfId="4893"/>
    <cellStyle name="Обычный 9 10" xfId="4894"/>
    <cellStyle name="Обычный 9 11" xfId="4895"/>
    <cellStyle name="Обычный 9 12" xfId="4896"/>
    <cellStyle name="Обычный 9 13" xfId="4897"/>
    <cellStyle name="Обычный 9 14" xfId="4898"/>
    <cellStyle name="Обычный 9 15" xfId="4899"/>
    <cellStyle name="Обычный 9 16" xfId="4900"/>
    <cellStyle name="Обычный 9 17" xfId="4901"/>
    <cellStyle name="Обычный 9 18" xfId="4902"/>
    <cellStyle name="Обычный 9 19" xfId="4903"/>
    <cellStyle name="Обычный 9 2" xfId="4904"/>
    <cellStyle name="Обычный 9 20" xfId="4905"/>
    <cellStyle name="Обычный 9 21" xfId="4906"/>
    <cellStyle name="Обычный 9 22" xfId="4907"/>
    <cellStyle name="Обычный 9 23" xfId="4908"/>
    <cellStyle name="Обычный 9 24" xfId="4909"/>
    <cellStyle name="Обычный 9 25" xfId="4910"/>
    <cellStyle name="Обычный 9 26" xfId="4911"/>
    <cellStyle name="Обычный 9 27" xfId="4912"/>
    <cellStyle name="Обычный 9 28" xfId="4913"/>
    <cellStyle name="Обычный 9 29" xfId="4914"/>
    <cellStyle name="Обычный 9 3" xfId="4915"/>
    <cellStyle name="Обычный 9 30" xfId="4916"/>
    <cellStyle name="Обычный 9 31" xfId="4917"/>
    <cellStyle name="Обычный 9 32" xfId="4918"/>
    <cellStyle name="Обычный 9 33" xfId="4919"/>
    <cellStyle name="Обычный 9 34" xfId="4920"/>
    <cellStyle name="Обычный 9 35" xfId="4921"/>
    <cellStyle name="Обычный 9 36" xfId="4922"/>
    <cellStyle name="Обычный 9 37" xfId="4923"/>
    <cellStyle name="Обычный 9 38" xfId="4924"/>
    <cellStyle name="Обычный 9 39" xfId="4925"/>
    <cellStyle name="Обычный 9 4" xfId="4926"/>
    <cellStyle name="Обычный 9 40" xfId="4927"/>
    <cellStyle name="Обычный 9 41" xfId="4928"/>
    <cellStyle name="Обычный 9 42" xfId="4929"/>
    <cellStyle name="Обычный 9 43" xfId="4930"/>
    <cellStyle name="Обычный 9 44" xfId="4931"/>
    <cellStyle name="Обычный 9 45" xfId="4932"/>
    <cellStyle name="Обычный 9 46" xfId="4933"/>
    <cellStyle name="Обычный 9 47" xfId="4934"/>
    <cellStyle name="Обычный 9 48" xfId="4935"/>
    <cellStyle name="Обычный 9 49" xfId="4936"/>
    <cellStyle name="Обычный 9 5" xfId="4937"/>
    <cellStyle name="Обычный 9 50" xfId="4938"/>
    <cellStyle name="Обычный 9 51" xfId="4939"/>
    <cellStyle name="Обычный 9 52" xfId="4940"/>
    <cellStyle name="Обычный 9 53" xfId="4941"/>
    <cellStyle name="Обычный 9 54" xfId="4942"/>
    <cellStyle name="Обычный 9 55" xfId="4943"/>
    <cellStyle name="Обычный 9 56" xfId="4944"/>
    <cellStyle name="Обычный 9 57" xfId="4945"/>
    <cellStyle name="Обычный 9 58" xfId="4946"/>
    <cellStyle name="Обычный 9 59" xfId="4947"/>
    <cellStyle name="Обычный 9 6" xfId="4948"/>
    <cellStyle name="Обычный 9 60" xfId="4949"/>
    <cellStyle name="Обычный 9 61" xfId="4950"/>
    <cellStyle name="Обычный 9 62" xfId="4951"/>
    <cellStyle name="Обычный 9 63" xfId="4952"/>
    <cellStyle name="Обычный 9 64" xfId="4953"/>
    <cellStyle name="Обычный 9 65" xfId="4954"/>
    <cellStyle name="Обычный 9 66" xfId="4955"/>
    <cellStyle name="Обычный 9 67" xfId="4956"/>
    <cellStyle name="Обычный 9 68" xfId="4957"/>
    <cellStyle name="Обычный 9 69" xfId="4958"/>
    <cellStyle name="Обычный 9 7" xfId="4959"/>
    <cellStyle name="Обычный 9 70" xfId="4960"/>
    <cellStyle name="Обычный 9 71" xfId="4961"/>
    <cellStyle name="Обычный 9 72" xfId="4962"/>
    <cellStyle name="Обычный 9 73" xfId="4963"/>
    <cellStyle name="Обычный 9 74" xfId="4964"/>
    <cellStyle name="Обычный 9 8" xfId="4965"/>
    <cellStyle name="Обычный 9 9" xfId="4966"/>
    <cellStyle name="Плохой 2" xfId="4967"/>
    <cellStyle name="Плохой 3" xfId="4968"/>
    <cellStyle name="Плохой 4" xfId="4969"/>
    <cellStyle name="Плохой 5" xfId="4970"/>
    <cellStyle name="Плохой 6" xfId="4971"/>
    <cellStyle name="Плохой 7" xfId="4972"/>
    <cellStyle name="Плохой 8" xfId="4973"/>
    <cellStyle name="Плохой 9" xfId="4974"/>
    <cellStyle name="Пояснение 2" xfId="4975"/>
    <cellStyle name="Пояснение 3" xfId="4976"/>
    <cellStyle name="Пояснение 4" xfId="4977"/>
    <cellStyle name="Пояснение 5" xfId="4978"/>
    <cellStyle name="Пояснение 6" xfId="4979"/>
    <cellStyle name="Пояснение 7" xfId="4980"/>
    <cellStyle name="Пояснение 8" xfId="4981"/>
    <cellStyle name="Пояснение 9" xfId="4982"/>
    <cellStyle name="Примечание 2" xfId="4983"/>
    <cellStyle name="Примечание 3" xfId="4984"/>
    <cellStyle name="Примечание 4" xfId="4985"/>
    <cellStyle name="Примечание 5" xfId="4986"/>
    <cellStyle name="Примечание 6" xfId="4987"/>
    <cellStyle name="Примечание 7" xfId="4988"/>
    <cellStyle name="Примечание 8" xfId="4989"/>
    <cellStyle name="Примечание 9" xfId="4990"/>
    <cellStyle name="Процентный" xfId="1" builtinId="5"/>
    <cellStyle name="Процентный 10" xfId="4991"/>
    <cellStyle name="Процентный 10 10" xfId="4992"/>
    <cellStyle name="Процентный 10 11" xfId="4993"/>
    <cellStyle name="Процентный 10 12" xfId="4994"/>
    <cellStyle name="Процентный 10 13" xfId="4995"/>
    <cellStyle name="Процентный 10 14" xfId="4996"/>
    <cellStyle name="Процентный 10 15" xfId="4997"/>
    <cellStyle name="Процентный 10 16" xfId="4998"/>
    <cellStyle name="Процентный 10 17" xfId="4999"/>
    <cellStyle name="Процентный 10 18" xfId="5000"/>
    <cellStyle name="Процентный 10 19" xfId="5001"/>
    <cellStyle name="Процентный 10 2" xfId="5002"/>
    <cellStyle name="Процентный 10 20" xfId="5003"/>
    <cellStyle name="Процентный 10 21" xfId="5004"/>
    <cellStyle name="Процентный 10 22" xfId="5005"/>
    <cellStyle name="Процентный 10 23" xfId="5006"/>
    <cellStyle name="Процентный 10 24" xfId="5007"/>
    <cellStyle name="Процентный 10 25" xfId="5008"/>
    <cellStyle name="Процентный 10 26" xfId="5009"/>
    <cellStyle name="Процентный 10 27" xfId="5010"/>
    <cellStyle name="Процентный 10 28" xfId="5011"/>
    <cellStyle name="Процентный 10 29" xfId="5012"/>
    <cellStyle name="Процентный 10 3" xfId="5013"/>
    <cellStyle name="Процентный 10 30" xfId="5014"/>
    <cellStyle name="Процентный 10 31" xfId="5015"/>
    <cellStyle name="Процентный 10 32" xfId="5016"/>
    <cellStyle name="Процентный 10 33" xfId="5017"/>
    <cellStyle name="Процентный 10 34" xfId="5018"/>
    <cellStyle name="Процентный 10 35" xfId="5019"/>
    <cellStyle name="Процентный 10 36" xfId="5020"/>
    <cellStyle name="Процентный 10 37" xfId="5021"/>
    <cellStyle name="Процентный 10 38" xfId="5022"/>
    <cellStyle name="Процентный 10 39" xfId="5023"/>
    <cellStyle name="Процентный 10 4" xfId="5024"/>
    <cellStyle name="Процентный 10 40" xfId="5025"/>
    <cellStyle name="Процентный 10 41" xfId="5026"/>
    <cellStyle name="Процентный 10 42" xfId="5027"/>
    <cellStyle name="Процентный 10 43" xfId="5028"/>
    <cellStyle name="Процентный 10 44" xfId="5029"/>
    <cellStyle name="Процентный 10 45" xfId="5030"/>
    <cellStyle name="Процентный 10 46" xfId="5031"/>
    <cellStyle name="Процентный 10 47" xfId="5032"/>
    <cellStyle name="Процентный 10 48" xfId="5033"/>
    <cellStyle name="Процентный 10 49" xfId="5034"/>
    <cellStyle name="Процентный 10 5" xfId="5035"/>
    <cellStyle name="Процентный 10 50" xfId="5036"/>
    <cellStyle name="Процентный 10 51" xfId="5037"/>
    <cellStyle name="Процентный 10 6" xfId="5038"/>
    <cellStyle name="Процентный 10 7" xfId="5039"/>
    <cellStyle name="Процентный 10 8" xfId="5040"/>
    <cellStyle name="Процентный 10 9" xfId="5041"/>
    <cellStyle name="Процентный 2" xfId="29"/>
    <cellStyle name="Процентный 2 10" xfId="5042"/>
    <cellStyle name="Процентный 2 11" xfId="5043"/>
    <cellStyle name="Процентный 2 12" xfId="5044"/>
    <cellStyle name="Процентный 2 13" xfId="5045"/>
    <cellStyle name="Процентный 2 14" xfId="5046"/>
    <cellStyle name="Процентный 2 15" xfId="5047"/>
    <cellStyle name="Процентный 2 2" xfId="5048"/>
    <cellStyle name="Процентный 2 2 10" xfId="5049"/>
    <cellStyle name="Процентный 2 2 11" xfId="5050"/>
    <cellStyle name="Процентный 2 2 12" xfId="5051"/>
    <cellStyle name="Процентный 2 2 13" xfId="5052"/>
    <cellStyle name="Процентный 2 2 14" xfId="5053"/>
    <cellStyle name="Процентный 2 2 15" xfId="5054"/>
    <cellStyle name="Процентный 2 2 16" xfId="5055"/>
    <cellStyle name="Процентный 2 2 17" xfId="5056"/>
    <cellStyle name="Процентный 2 2 18" xfId="5057"/>
    <cellStyle name="Процентный 2 2 19" xfId="5058"/>
    <cellStyle name="Процентный 2 2 2" xfId="5059"/>
    <cellStyle name="Процентный 2 2 20" xfId="5060"/>
    <cellStyle name="Процентный 2 2 21" xfId="5061"/>
    <cellStyle name="Процентный 2 2 22" xfId="5062"/>
    <cellStyle name="Процентный 2 2 23" xfId="5063"/>
    <cellStyle name="Процентный 2 2 24" xfId="5064"/>
    <cellStyle name="Процентный 2 2 25" xfId="5065"/>
    <cellStyle name="Процентный 2 2 26" xfId="5066"/>
    <cellStyle name="Процентный 2 2 27" xfId="5067"/>
    <cellStyle name="Процентный 2 2 3" xfId="5068"/>
    <cellStyle name="Процентный 2 2 4" xfId="5069"/>
    <cellStyle name="Процентный 2 2 5" xfId="5070"/>
    <cellStyle name="Процентный 2 2 6" xfId="5071"/>
    <cellStyle name="Процентный 2 2 7" xfId="5072"/>
    <cellStyle name="Процентный 2 2 8" xfId="5073"/>
    <cellStyle name="Процентный 2 2 9" xfId="5074"/>
    <cellStyle name="Процентный 2 3" xfId="5075"/>
    <cellStyle name="Процентный 2 4" xfId="5076"/>
    <cellStyle name="Процентный 2 5" xfId="5077"/>
    <cellStyle name="Процентный 2 6" xfId="5078"/>
    <cellStyle name="Процентный 2 7" xfId="5079"/>
    <cellStyle name="Процентный 2 8" xfId="5080"/>
    <cellStyle name="Процентный 2 9" xfId="5081"/>
    <cellStyle name="Процентный 21" xfId="5082"/>
    <cellStyle name="Процентный 21 10" xfId="5083"/>
    <cellStyle name="Процентный 21 11" xfId="5084"/>
    <cellStyle name="Процентный 21 12" xfId="5085"/>
    <cellStyle name="Процентный 21 13" xfId="5086"/>
    <cellStyle name="Процентный 21 14" xfId="5087"/>
    <cellStyle name="Процентный 21 15" xfId="5088"/>
    <cellStyle name="Процентный 21 16" xfId="5089"/>
    <cellStyle name="Процентный 21 2" xfId="5090"/>
    <cellStyle name="Процентный 21 3" xfId="5091"/>
    <cellStyle name="Процентный 21 4" xfId="5092"/>
    <cellStyle name="Процентный 21 5" xfId="5093"/>
    <cellStyle name="Процентный 21 6" xfId="5094"/>
    <cellStyle name="Процентный 21 7" xfId="5095"/>
    <cellStyle name="Процентный 21 8" xfId="5096"/>
    <cellStyle name="Процентный 21 9" xfId="5097"/>
    <cellStyle name="Процентный 3" xfId="3"/>
    <cellStyle name="Процентный 3 2" xfId="5098"/>
    <cellStyle name="Процентный 4" xfId="5099"/>
    <cellStyle name="Процентный 5" xfId="5100"/>
    <cellStyle name="Процентный 5 10" xfId="5101"/>
    <cellStyle name="Процентный 5 11" xfId="5102"/>
    <cellStyle name="Процентный 5 12" xfId="5103"/>
    <cellStyle name="Процентный 5 13" xfId="5104"/>
    <cellStyle name="Процентный 5 14" xfId="5105"/>
    <cellStyle name="Процентный 5 15" xfId="5106"/>
    <cellStyle name="Процентный 5 16" xfId="5107"/>
    <cellStyle name="Процентный 5 17" xfId="5108"/>
    <cellStyle name="Процентный 5 18" xfId="5109"/>
    <cellStyle name="Процентный 5 19" xfId="5110"/>
    <cellStyle name="Процентный 5 2" xfId="5111"/>
    <cellStyle name="Процентный 5 20" xfId="5112"/>
    <cellStyle name="Процентный 5 21" xfId="5113"/>
    <cellStyle name="Процентный 5 22" xfId="5114"/>
    <cellStyle name="Процентный 5 23" xfId="5115"/>
    <cellStyle name="Процентный 5 24" xfId="5116"/>
    <cellStyle name="Процентный 5 25" xfId="5117"/>
    <cellStyle name="Процентный 5 26" xfId="5118"/>
    <cellStyle name="Процентный 5 27" xfId="5119"/>
    <cellStyle name="Процентный 5 28" xfId="5120"/>
    <cellStyle name="Процентный 5 29" xfId="5121"/>
    <cellStyle name="Процентный 5 3" xfId="5122"/>
    <cellStyle name="Процентный 5 30" xfId="5123"/>
    <cellStyle name="Процентный 5 31" xfId="5124"/>
    <cellStyle name="Процентный 5 32" xfId="5125"/>
    <cellStyle name="Процентный 5 33" xfId="5126"/>
    <cellStyle name="Процентный 5 34" xfId="5127"/>
    <cellStyle name="Процентный 5 35" xfId="5128"/>
    <cellStyle name="Процентный 5 36" xfId="5129"/>
    <cellStyle name="Процентный 5 37" xfId="5130"/>
    <cellStyle name="Процентный 5 38" xfId="5131"/>
    <cellStyle name="Процентный 5 39" xfId="5132"/>
    <cellStyle name="Процентный 5 4" xfId="5133"/>
    <cellStyle name="Процентный 5 40" xfId="5134"/>
    <cellStyle name="Процентный 5 41" xfId="5135"/>
    <cellStyle name="Процентный 5 42" xfId="5136"/>
    <cellStyle name="Процентный 5 43" xfId="5137"/>
    <cellStyle name="Процентный 5 44" xfId="5138"/>
    <cellStyle name="Процентный 5 45" xfId="5139"/>
    <cellStyle name="Процентный 5 46" xfId="5140"/>
    <cellStyle name="Процентный 5 47" xfId="5141"/>
    <cellStyle name="Процентный 5 48" xfId="5142"/>
    <cellStyle name="Процентный 5 49" xfId="5143"/>
    <cellStyle name="Процентный 5 5" xfId="5144"/>
    <cellStyle name="Процентный 5 50" xfId="5145"/>
    <cellStyle name="Процентный 5 51" xfId="5146"/>
    <cellStyle name="Процентный 5 52" xfId="5147"/>
    <cellStyle name="Процентный 5 53" xfId="5148"/>
    <cellStyle name="Процентный 5 54" xfId="5149"/>
    <cellStyle name="Процентный 5 55" xfId="5150"/>
    <cellStyle name="Процентный 5 56" xfId="5151"/>
    <cellStyle name="Процентный 5 57" xfId="5152"/>
    <cellStyle name="Процентный 5 58" xfId="5153"/>
    <cellStyle name="Процентный 5 6" xfId="5154"/>
    <cellStyle name="Процентный 5 7" xfId="5155"/>
    <cellStyle name="Процентный 5 8" xfId="5156"/>
    <cellStyle name="Процентный 5 9" xfId="5157"/>
    <cellStyle name="Процентный 50" xfId="5158"/>
    <cellStyle name="Процентный 50 10" xfId="5159"/>
    <cellStyle name="Процентный 50 11" xfId="5160"/>
    <cellStyle name="Процентный 50 12" xfId="5161"/>
    <cellStyle name="Процентный 50 13" xfId="5162"/>
    <cellStyle name="Процентный 50 14" xfId="5163"/>
    <cellStyle name="Процентный 50 15" xfId="5164"/>
    <cellStyle name="Процентный 50 16" xfId="5165"/>
    <cellStyle name="Процентный 50 2" xfId="5166"/>
    <cellStyle name="Процентный 50 3" xfId="5167"/>
    <cellStyle name="Процентный 50 4" xfId="5168"/>
    <cellStyle name="Процентный 50 5" xfId="5169"/>
    <cellStyle name="Процентный 50 6" xfId="5170"/>
    <cellStyle name="Процентный 50 7" xfId="5171"/>
    <cellStyle name="Процентный 50 8" xfId="5172"/>
    <cellStyle name="Процентный 50 9" xfId="5173"/>
    <cellStyle name="Процентный 51" xfId="5174"/>
    <cellStyle name="Процентный 51 10" xfId="5175"/>
    <cellStyle name="Процентный 51 11" xfId="5176"/>
    <cellStyle name="Процентный 51 12" xfId="5177"/>
    <cellStyle name="Процентный 51 13" xfId="5178"/>
    <cellStyle name="Процентный 51 14" xfId="5179"/>
    <cellStyle name="Процентный 51 15" xfId="5180"/>
    <cellStyle name="Процентный 51 16" xfId="5181"/>
    <cellStyle name="Процентный 51 2" xfId="5182"/>
    <cellStyle name="Процентный 51 3" xfId="5183"/>
    <cellStyle name="Процентный 51 4" xfId="5184"/>
    <cellStyle name="Процентный 51 5" xfId="5185"/>
    <cellStyle name="Процентный 51 6" xfId="5186"/>
    <cellStyle name="Процентный 51 7" xfId="5187"/>
    <cellStyle name="Процентный 51 8" xfId="5188"/>
    <cellStyle name="Процентный 51 9" xfId="5189"/>
    <cellStyle name="Процентный 52" xfId="5190"/>
    <cellStyle name="Процентный 52 10" xfId="5191"/>
    <cellStyle name="Процентный 52 11" xfId="5192"/>
    <cellStyle name="Процентный 52 12" xfId="5193"/>
    <cellStyle name="Процентный 52 13" xfId="5194"/>
    <cellStyle name="Процентный 52 14" xfId="5195"/>
    <cellStyle name="Процентный 52 15" xfId="5196"/>
    <cellStyle name="Процентный 52 16" xfId="5197"/>
    <cellStyle name="Процентный 52 2" xfId="5198"/>
    <cellStyle name="Процентный 52 3" xfId="5199"/>
    <cellStyle name="Процентный 52 4" xfId="5200"/>
    <cellStyle name="Процентный 52 5" xfId="5201"/>
    <cellStyle name="Процентный 52 6" xfId="5202"/>
    <cellStyle name="Процентный 52 7" xfId="5203"/>
    <cellStyle name="Процентный 52 8" xfId="5204"/>
    <cellStyle name="Процентный 52 9" xfId="5205"/>
    <cellStyle name="Процентный 6" xfId="7951"/>
    <cellStyle name="Связанная ячейка 2" xfId="5206"/>
    <cellStyle name="Связанная ячейка 3" xfId="5207"/>
    <cellStyle name="Связанная ячейка 4" xfId="5208"/>
    <cellStyle name="Связанная ячейка 5" xfId="5209"/>
    <cellStyle name="Связанная ячейка 6" xfId="5210"/>
    <cellStyle name="Связанная ячейка 7" xfId="5211"/>
    <cellStyle name="Связанная ячейка 8" xfId="5212"/>
    <cellStyle name="Связанная ячейка 9" xfId="5213"/>
    <cellStyle name="Стиль 1" xfId="7"/>
    <cellStyle name="Стиль 1 10" xfId="5214"/>
    <cellStyle name="Стиль 1 11" xfId="5215"/>
    <cellStyle name="Стиль 1 12" xfId="5216"/>
    <cellStyle name="Стиль 1 13" xfId="5217"/>
    <cellStyle name="Стиль 1 14" xfId="5218"/>
    <cellStyle name="Стиль 1 15" xfId="5219"/>
    <cellStyle name="Стиль 1 16" xfId="5220"/>
    <cellStyle name="Стиль 1 16 10" xfId="5221"/>
    <cellStyle name="Стиль 1 16 10 10" xfId="5222"/>
    <cellStyle name="Стиль 1 16 10 11" xfId="5223"/>
    <cellStyle name="Стиль 1 16 10 12" xfId="5224"/>
    <cellStyle name="Стиль 1 16 10 13" xfId="5225"/>
    <cellStyle name="Стиль 1 16 10 14" xfId="5226"/>
    <cellStyle name="Стиль 1 16 10 15" xfId="5227"/>
    <cellStyle name="Стиль 1 16 10 16" xfId="5228"/>
    <cellStyle name="Стиль 1 16 10 17" xfId="5229"/>
    <cellStyle name="Стиль 1 16 10 18" xfId="5230"/>
    <cellStyle name="Стиль 1 16 10 2" xfId="5231"/>
    <cellStyle name="Стиль 1 16 10 3" xfId="5232"/>
    <cellStyle name="Стиль 1 16 10 4" xfId="5233"/>
    <cellStyle name="Стиль 1 16 10 5" xfId="5234"/>
    <cellStyle name="Стиль 1 16 10 6" xfId="5235"/>
    <cellStyle name="Стиль 1 16 10 7" xfId="5236"/>
    <cellStyle name="Стиль 1 16 10 8" xfId="5237"/>
    <cellStyle name="Стиль 1 16 10 9" xfId="5238"/>
    <cellStyle name="Стиль 1 16 11" xfId="5239"/>
    <cellStyle name="Стиль 1 16 12" xfId="5240"/>
    <cellStyle name="Стиль 1 16 13" xfId="5241"/>
    <cellStyle name="Стиль 1 16 14" xfId="5242"/>
    <cellStyle name="Стиль 1 16 15" xfId="5243"/>
    <cellStyle name="Стиль 1 16 16" xfId="5244"/>
    <cellStyle name="Стиль 1 16 17" xfId="5245"/>
    <cellStyle name="Стиль 1 16 18" xfId="5246"/>
    <cellStyle name="Стиль 1 16 19" xfId="5247"/>
    <cellStyle name="Стиль 1 16 2" xfId="5248"/>
    <cellStyle name="Стиль 1 16 2 10" xfId="5249"/>
    <cellStyle name="Стиль 1 16 2 10 10" xfId="5250"/>
    <cellStyle name="Стиль 1 16 2 10 11" xfId="5251"/>
    <cellStyle name="Стиль 1 16 2 10 12" xfId="5252"/>
    <cellStyle name="Стиль 1 16 2 10 13" xfId="5253"/>
    <cellStyle name="Стиль 1 16 2 10 14" xfId="5254"/>
    <cellStyle name="Стиль 1 16 2 10 15" xfId="5255"/>
    <cellStyle name="Стиль 1 16 2 10 16" xfId="5256"/>
    <cellStyle name="Стиль 1 16 2 10 17" xfId="5257"/>
    <cellStyle name="Стиль 1 16 2 10 18" xfId="5258"/>
    <cellStyle name="Стиль 1 16 2 10 2" xfId="5259"/>
    <cellStyle name="Стиль 1 16 2 10 3" xfId="5260"/>
    <cellStyle name="Стиль 1 16 2 10 4" xfId="5261"/>
    <cellStyle name="Стиль 1 16 2 10 5" xfId="5262"/>
    <cellStyle name="Стиль 1 16 2 10 6" xfId="5263"/>
    <cellStyle name="Стиль 1 16 2 10 7" xfId="5264"/>
    <cellStyle name="Стиль 1 16 2 10 8" xfId="5265"/>
    <cellStyle name="Стиль 1 16 2 10 9" xfId="5266"/>
    <cellStyle name="Стиль 1 16 2 11" xfId="5267"/>
    <cellStyle name="Стиль 1 16 2 12" xfId="5268"/>
    <cellStyle name="Стиль 1 16 2 13" xfId="5269"/>
    <cellStyle name="Стиль 1 16 2 14" xfId="5270"/>
    <cellStyle name="Стиль 1 16 2 15" xfId="5271"/>
    <cellStyle name="Стиль 1 16 2 16" xfId="5272"/>
    <cellStyle name="Стиль 1 16 2 17" xfId="5273"/>
    <cellStyle name="Стиль 1 16 2 18" xfId="5274"/>
    <cellStyle name="Стиль 1 16 2 19" xfId="5275"/>
    <cellStyle name="Стиль 1 16 2 2" xfId="5276"/>
    <cellStyle name="Стиль 1 16 2 2 10" xfId="5277"/>
    <cellStyle name="Стиль 1 16 2 2 11" xfId="5278"/>
    <cellStyle name="Стиль 1 16 2 2 12" xfId="5279"/>
    <cellStyle name="Стиль 1 16 2 2 13" xfId="5280"/>
    <cellStyle name="Стиль 1 16 2 2 14" xfId="5281"/>
    <cellStyle name="Стиль 1 16 2 2 15" xfId="5282"/>
    <cellStyle name="Стиль 1 16 2 2 16" xfId="5283"/>
    <cellStyle name="Стиль 1 16 2 2 17" xfId="5284"/>
    <cellStyle name="Стиль 1 16 2 2 18" xfId="5285"/>
    <cellStyle name="Стиль 1 16 2 2 19" xfId="5286"/>
    <cellStyle name="Стиль 1 16 2 2 2" xfId="5287"/>
    <cellStyle name="Стиль 1 16 2 2 2 10" xfId="5288"/>
    <cellStyle name="Стиль 1 16 2 2 2 11" xfId="5289"/>
    <cellStyle name="Стиль 1 16 2 2 2 12" xfId="5290"/>
    <cellStyle name="Стиль 1 16 2 2 2 13" xfId="5291"/>
    <cellStyle name="Стиль 1 16 2 2 2 14" xfId="5292"/>
    <cellStyle name="Стиль 1 16 2 2 2 15" xfId="5293"/>
    <cellStyle name="Стиль 1 16 2 2 2 16" xfId="5294"/>
    <cellStyle name="Стиль 1 16 2 2 2 17" xfId="5295"/>
    <cellStyle name="Стиль 1 16 2 2 2 18" xfId="5296"/>
    <cellStyle name="Стиль 1 16 2 2 2 19" xfId="5297"/>
    <cellStyle name="Стиль 1 16 2 2 2 2" xfId="5298"/>
    <cellStyle name="Стиль 1 16 2 2 2 2 10" xfId="5299"/>
    <cellStyle name="Стиль 1 16 2 2 2 2 11" xfId="5300"/>
    <cellStyle name="Стиль 1 16 2 2 2 2 12" xfId="5301"/>
    <cellStyle name="Стиль 1 16 2 2 2 2 13" xfId="5302"/>
    <cellStyle name="Стиль 1 16 2 2 2 2 14" xfId="5303"/>
    <cellStyle name="Стиль 1 16 2 2 2 2 15" xfId="5304"/>
    <cellStyle name="Стиль 1 16 2 2 2 2 16" xfId="5305"/>
    <cellStyle name="Стиль 1 16 2 2 2 2 17" xfId="5306"/>
    <cellStyle name="Стиль 1 16 2 2 2 2 18" xfId="5307"/>
    <cellStyle name="Стиль 1 16 2 2 2 2 2" xfId="5308"/>
    <cellStyle name="Стиль 1 16 2 2 2 2 3" xfId="5309"/>
    <cellStyle name="Стиль 1 16 2 2 2 2 4" xfId="5310"/>
    <cellStyle name="Стиль 1 16 2 2 2 2 5" xfId="5311"/>
    <cellStyle name="Стиль 1 16 2 2 2 2 6" xfId="5312"/>
    <cellStyle name="Стиль 1 16 2 2 2 2 7" xfId="5313"/>
    <cellStyle name="Стиль 1 16 2 2 2 2 8" xfId="5314"/>
    <cellStyle name="Стиль 1 16 2 2 2 2 9" xfId="5315"/>
    <cellStyle name="Стиль 1 16 2 2 2 20" xfId="5316"/>
    <cellStyle name="Стиль 1 16 2 2 2 21" xfId="5317"/>
    <cellStyle name="Стиль 1 16 2 2 2 22" xfId="5318"/>
    <cellStyle name="Стиль 1 16 2 2 2 23" xfId="5319"/>
    <cellStyle name="Стиль 1 16 2 2 2 24" xfId="5320"/>
    <cellStyle name="Стиль 1 16 2 2 2 3" xfId="5321"/>
    <cellStyle name="Стиль 1 16 2 2 2 4" xfId="5322"/>
    <cellStyle name="Стиль 1 16 2 2 2 5" xfId="5323"/>
    <cellStyle name="Стиль 1 16 2 2 2 6" xfId="5324"/>
    <cellStyle name="Стиль 1 16 2 2 2 7" xfId="5325"/>
    <cellStyle name="Стиль 1 16 2 2 2 8" xfId="5326"/>
    <cellStyle name="Стиль 1 16 2 2 2 9" xfId="5327"/>
    <cellStyle name="Стиль 1 16 2 2 20" xfId="5328"/>
    <cellStyle name="Стиль 1 16 2 2 21" xfId="5329"/>
    <cellStyle name="Стиль 1 16 2 2 22" xfId="5330"/>
    <cellStyle name="Стиль 1 16 2 2 23" xfId="5331"/>
    <cellStyle name="Стиль 1 16 2 2 24" xfId="5332"/>
    <cellStyle name="Стиль 1 16 2 2 25" xfId="5333"/>
    <cellStyle name="Стиль 1 16 2 2 3" xfId="5334"/>
    <cellStyle name="Стиль 1 16 2 2 4" xfId="5335"/>
    <cellStyle name="Стиль 1 16 2 2 4 10" xfId="5336"/>
    <cellStyle name="Стиль 1 16 2 2 4 11" xfId="5337"/>
    <cellStyle name="Стиль 1 16 2 2 4 12" xfId="5338"/>
    <cellStyle name="Стиль 1 16 2 2 4 13" xfId="5339"/>
    <cellStyle name="Стиль 1 16 2 2 4 14" xfId="5340"/>
    <cellStyle name="Стиль 1 16 2 2 4 15" xfId="5341"/>
    <cellStyle name="Стиль 1 16 2 2 4 16" xfId="5342"/>
    <cellStyle name="Стиль 1 16 2 2 4 17" xfId="5343"/>
    <cellStyle name="Стиль 1 16 2 2 4 18" xfId="5344"/>
    <cellStyle name="Стиль 1 16 2 2 4 2" xfId="5345"/>
    <cellStyle name="Стиль 1 16 2 2 4 3" xfId="5346"/>
    <cellStyle name="Стиль 1 16 2 2 4 4" xfId="5347"/>
    <cellStyle name="Стиль 1 16 2 2 4 5" xfId="5348"/>
    <cellStyle name="Стиль 1 16 2 2 4 6" xfId="5349"/>
    <cellStyle name="Стиль 1 16 2 2 4 7" xfId="5350"/>
    <cellStyle name="Стиль 1 16 2 2 4 8" xfId="5351"/>
    <cellStyle name="Стиль 1 16 2 2 4 9" xfId="5352"/>
    <cellStyle name="Стиль 1 16 2 2 5" xfId="5353"/>
    <cellStyle name="Стиль 1 16 2 2 6" xfId="5354"/>
    <cellStyle name="Стиль 1 16 2 2 7" xfId="5355"/>
    <cellStyle name="Стиль 1 16 2 2 8" xfId="5356"/>
    <cellStyle name="Стиль 1 16 2 2 9" xfId="5357"/>
    <cellStyle name="Стиль 1 16 2 20" xfId="5358"/>
    <cellStyle name="Стиль 1 16 2 21" xfId="5359"/>
    <cellStyle name="Стиль 1 16 2 22" xfId="5360"/>
    <cellStyle name="Стиль 1 16 2 23" xfId="5361"/>
    <cellStyle name="Стиль 1 16 2 24" xfId="5362"/>
    <cellStyle name="Стиль 1 16 2 25" xfId="5363"/>
    <cellStyle name="Стиль 1 16 2 26" xfId="5364"/>
    <cellStyle name="Стиль 1 16 2 27" xfId="5365"/>
    <cellStyle name="Стиль 1 16 2 28" xfId="5366"/>
    <cellStyle name="Стиль 1 16 2 29" xfId="5367"/>
    <cellStyle name="Стиль 1 16 2 3" xfId="5368"/>
    <cellStyle name="Стиль 1 16 2 30" xfId="5369"/>
    <cellStyle name="Стиль 1 16 2 31" xfId="5370"/>
    <cellStyle name="Стиль 1 16 2 4" xfId="5371"/>
    <cellStyle name="Стиль 1 16 2 5" xfId="5372"/>
    <cellStyle name="Стиль 1 16 2 6" xfId="5373"/>
    <cellStyle name="Стиль 1 16 2 7" xfId="5374"/>
    <cellStyle name="Стиль 1 16 2 8" xfId="5375"/>
    <cellStyle name="Стиль 1 16 2 9" xfId="5376"/>
    <cellStyle name="Стиль 1 16 2 9 10" xfId="5377"/>
    <cellStyle name="Стиль 1 16 2 9 11" xfId="5378"/>
    <cellStyle name="Стиль 1 16 2 9 12" xfId="5379"/>
    <cellStyle name="Стиль 1 16 2 9 13" xfId="5380"/>
    <cellStyle name="Стиль 1 16 2 9 14" xfId="5381"/>
    <cellStyle name="Стиль 1 16 2 9 15" xfId="5382"/>
    <cellStyle name="Стиль 1 16 2 9 16" xfId="5383"/>
    <cellStyle name="Стиль 1 16 2 9 17" xfId="5384"/>
    <cellStyle name="Стиль 1 16 2 9 18" xfId="5385"/>
    <cellStyle name="Стиль 1 16 2 9 19" xfId="5386"/>
    <cellStyle name="Стиль 1 16 2 9 2" xfId="5387"/>
    <cellStyle name="Стиль 1 16 2 9 2 10" xfId="5388"/>
    <cellStyle name="Стиль 1 16 2 9 2 11" xfId="5389"/>
    <cellStyle name="Стиль 1 16 2 9 2 12" xfId="5390"/>
    <cellStyle name="Стиль 1 16 2 9 2 13" xfId="5391"/>
    <cellStyle name="Стиль 1 16 2 9 2 14" xfId="5392"/>
    <cellStyle name="Стиль 1 16 2 9 2 15" xfId="5393"/>
    <cellStyle name="Стиль 1 16 2 9 2 16" xfId="5394"/>
    <cellStyle name="Стиль 1 16 2 9 2 17" xfId="5395"/>
    <cellStyle name="Стиль 1 16 2 9 2 18" xfId="5396"/>
    <cellStyle name="Стиль 1 16 2 9 2 2" xfId="5397"/>
    <cellStyle name="Стиль 1 16 2 9 2 3" xfId="5398"/>
    <cellStyle name="Стиль 1 16 2 9 2 4" xfId="5399"/>
    <cellStyle name="Стиль 1 16 2 9 2 5" xfId="5400"/>
    <cellStyle name="Стиль 1 16 2 9 2 6" xfId="5401"/>
    <cellStyle name="Стиль 1 16 2 9 2 7" xfId="5402"/>
    <cellStyle name="Стиль 1 16 2 9 2 8" xfId="5403"/>
    <cellStyle name="Стиль 1 16 2 9 2 9" xfId="5404"/>
    <cellStyle name="Стиль 1 16 2 9 20" xfId="5405"/>
    <cellStyle name="Стиль 1 16 2 9 21" xfId="5406"/>
    <cellStyle name="Стиль 1 16 2 9 22" xfId="5407"/>
    <cellStyle name="Стиль 1 16 2 9 23" xfId="5408"/>
    <cellStyle name="Стиль 1 16 2 9 24" xfId="5409"/>
    <cellStyle name="Стиль 1 16 2 9 3" xfId="5410"/>
    <cellStyle name="Стиль 1 16 2 9 4" xfId="5411"/>
    <cellStyle name="Стиль 1 16 2 9 5" xfId="5412"/>
    <cellStyle name="Стиль 1 16 2 9 6" xfId="5413"/>
    <cellStyle name="Стиль 1 16 2 9 7" xfId="5414"/>
    <cellStyle name="Стиль 1 16 2 9 8" xfId="5415"/>
    <cellStyle name="Стиль 1 16 2 9 9" xfId="5416"/>
    <cellStyle name="Стиль 1 16 20" xfId="5417"/>
    <cellStyle name="Стиль 1 16 21" xfId="5418"/>
    <cellStyle name="Стиль 1 16 22" xfId="5419"/>
    <cellStyle name="Стиль 1 16 23" xfId="5420"/>
    <cellStyle name="Стиль 1 16 24" xfId="5421"/>
    <cellStyle name="Стиль 1 16 25" xfId="5422"/>
    <cellStyle name="Стиль 1 16 26" xfId="5423"/>
    <cellStyle name="Стиль 1 16 27" xfId="5424"/>
    <cellStyle name="Стиль 1 16 28" xfId="5425"/>
    <cellStyle name="Стиль 1 16 29" xfId="5426"/>
    <cellStyle name="Стиль 1 16 3" xfId="5427"/>
    <cellStyle name="Стиль 1 16 3 10" xfId="5428"/>
    <cellStyle name="Стиль 1 16 3 11" xfId="5429"/>
    <cellStyle name="Стиль 1 16 3 12" xfId="5430"/>
    <cellStyle name="Стиль 1 16 3 13" xfId="5431"/>
    <cellStyle name="Стиль 1 16 3 14" xfId="5432"/>
    <cellStyle name="Стиль 1 16 3 15" xfId="5433"/>
    <cellStyle name="Стиль 1 16 3 16" xfId="5434"/>
    <cellStyle name="Стиль 1 16 3 17" xfId="5435"/>
    <cellStyle name="Стиль 1 16 3 18" xfId="5436"/>
    <cellStyle name="Стиль 1 16 3 19" xfId="5437"/>
    <cellStyle name="Стиль 1 16 3 2" xfId="5438"/>
    <cellStyle name="Стиль 1 16 3 2 10" xfId="5439"/>
    <cellStyle name="Стиль 1 16 3 2 11" xfId="5440"/>
    <cellStyle name="Стиль 1 16 3 2 12" xfId="5441"/>
    <cellStyle name="Стиль 1 16 3 2 13" xfId="5442"/>
    <cellStyle name="Стиль 1 16 3 2 14" xfId="5443"/>
    <cellStyle name="Стиль 1 16 3 2 15" xfId="5444"/>
    <cellStyle name="Стиль 1 16 3 2 16" xfId="5445"/>
    <cellStyle name="Стиль 1 16 3 2 17" xfId="5446"/>
    <cellStyle name="Стиль 1 16 3 2 18" xfId="5447"/>
    <cellStyle name="Стиль 1 16 3 2 19" xfId="5448"/>
    <cellStyle name="Стиль 1 16 3 2 2" xfId="5449"/>
    <cellStyle name="Стиль 1 16 3 2 2 10" xfId="5450"/>
    <cellStyle name="Стиль 1 16 3 2 2 11" xfId="5451"/>
    <cellStyle name="Стиль 1 16 3 2 2 12" xfId="5452"/>
    <cellStyle name="Стиль 1 16 3 2 2 13" xfId="5453"/>
    <cellStyle name="Стиль 1 16 3 2 2 14" xfId="5454"/>
    <cellStyle name="Стиль 1 16 3 2 2 15" xfId="5455"/>
    <cellStyle name="Стиль 1 16 3 2 2 16" xfId="5456"/>
    <cellStyle name="Стиль 1 16 3 2 2 17" xfId="5457"/>
    <cellStyle name="Стиль 1 16 3 2 2 18" xfId="5458"/>
    <cellStyle name="Стиль 1 16 3 2 2 2" xfId="5459"/>
    <cellStyle name="Стиль 1 16 3 2 2 3" xfId="5460"/>
    <cellStyle name="Стиль 1 16 3 2 2 4" xfId="5461"/>
    <cellStyle name="Стиль 1 16 3 2 2 5" xfId="5462"/>
    <cellStyle name="Стиль 1 16 3 2 2 6" xfId="5463"/>
    <cellStyle name="Стиль 1 16 3 2 2 7" xfId="5464"/>
    <cellStyle name="Стиль 1 16 3 2 2 8" xfId="5465"/>
    <cellStyle name="Стиль 1 16 3 2 2 9" xfId="5466"/>
    <cellStyle name="Стиль 1 16 3 2 20" xfId="5467"/>
    <cellStyle name="Стиль 1 16 3 2 21" xfId="5468"/>
    <cellStyle name="Стиль 1 16 3 2 22" xfId="5469"/>
    <cellStyle name="Стиль 1 16 3 2 23" xfId="5470"/>
    <cellStyle name="Стиль 1 16 3 2 24" xfId="5471"/>
    <cellStyle name="Стиль 1 16 3 2 3" xfId="5472"/>
    <cellStyle name="Стиль 1 16 3 2 4" xfId="5473"/>
    <cellStyle name="Стиль 1 16 3 2 5" xfId="5474"/>
    <cellStyle name="Стиль 1 16 3 2 6" xfId="5475"/>
    <cellStyle name="Стиль 1 16 3 2 7" xfId="5476"/>
    <cellStyle name="Стиль 1 16 3 2 8" xfId="5477"/>
    <cellStyle name="Стиль 1 16 3 2 9" xfId="5478"/>
    <cellStyle name="Стиль 1 16 3 20" xfId="5479"/>
    <cellStyle name="Стиль 1 16 3 21" xfId="5480"/>
    <cellStyle name="Стиль 1 16 3 22" xfId="5481"/>
    <cellStyle name="Стиль 1 16 3 23" xfId="5482"/>
    <cellStyle name="Стиль 1 16 3 24" xfId="5483"/>
    <cellStyle name="Стиль 1 16 3 25" xfId="5484"/>
    <cellStyle name="Стиль 1 16 3 3" xfId="5485"/>
    <cellStyle name="Стиль 1 16 3 4" xfId="5486"/>
    <cellStyle name="Стиль 1 16 3 4 10" xfId="5487"/>
    <cellStyle name="Стиль 1 16 3 4 11" xfId="5488"/>
    <cellStyle name="Стиль 1 16 3 4 12" xfId="5489"/>
    <cellStyle name="Стиль 1 16 3 4 13" xfId="5490"/>
    <cellStyle name="Стиль 1 16 3 4 14" xfId="5491"/>
    <cellStyle name="Стиль 1 16 3 4 15" xfId="5492"/>
    <cellStyle name="Стиль 1 16 3 4 16" xfId="5493"/>
    <cellStyle name="Стиль 1 16 3 4 17" xfId="5494"/>
    <cellStyle name="Стиль 1 16 3 4 18" xfId="5495"/>
    <cellStyle name="Стиль 1 16 3 4 2" xfId="5496"/>
    <cellStyle name="Стиль 1 16 3 4 3" xfId="5497"/>
    <cellStyle name="Стиль 1 16 3 4 4" xfId="5498"/>
    <cellStyle name="Стиль 1 16 3 4 5" xfId="5499"/>
    <cellStyle name="Стиль 1 16 3 4 6" xfId="5500"/>
    <cellStyle name="Стиль 1 16 3 4 7" xfId="5501"/>
    <cellStyle name="Стиль 1 16 3 4 8" xfId="5502"/>
    <cellStyle name="Стиль 1 16 3 4 9" xfId="5503"/>
    <cellStyle name="Стиль 1 16 3 5" xfId="5504"/>
    <cellStyle name="Стиль 1 16 3 6" xfId="5505"/>
    <cellStyle name="Стиль 1 16 3 7" xfId="5506"/>
    <cellStyle name="Стиль 1 16 3 8" xfId="5507"/>
    <cellStyle name="Стиль 1 16 3 9" xfId="5508"/>
    <cellStyle name="Стиль 1 16 30" xfId="5509"/>
    <cellStyle name="Стиль 1 16 31" xfId="5510"/>
    <cellStyle name="Стиль 1 16 4" xfId="5511"/>
    <cellStyle name="Стиль 1 16 5" xfId="5512"/>
    <cellStyle name="Стиль 1 16 6" xfId="5513"/>
    <cellStyle name="Стиль 1 16 7" xfId="5514"/>
    <cellStyle name="Стиль 1 16 8" xfId="5515"/>
    <cellStyle name="Стиль 1 16 9" xfId="5516"/>
    <cellStyle name="Стиль 1 16 9 10" xfId="5517"/>
    <cellStyle name="Стиль 1 16 9 11" xfId="5518"/>
    <cellStyle name="Стиль 1 16 9 12" xfId="5519"/>
    <cellStyle name="Стиль 1 16 9 13" xfId="5520"/>
    <cellStyle name="Стиль 1 16 9 14" xfId="5521"/>
    <cellStyle name="Стиль 1 16 9 15" xfId="5522"/>
    <cellStyle name="Стиль 1 16 9 16" xfId="5523"/>
    <cellStyle name="Стиль 1 16 9 17" xfId="5524"/>
    <cellStyle name="Стиль 1 16 9 18" xfId="5525"/>
    <cellStyle name="Стиль 1 16 9 19" xfId="5526"/>
    <cellStyle name="Стиль 1 16 9 2" xfId="5527"/>
    <cellStyle name="Стиль 1 16 9 2 10" xfId="5528"/>
    <cellStyle name="Стиль 1 16 9 2 11" xfId="5529"/>
    <cellStyle name="Стиль 1 16 9 2 12" xfId="5530"/>
    <cellStyle name="Стиль 1 16 9 2 13" xfId="5531"/>
    <cellStyle name="Стиль 1 16 9 2 14" xfId="5532"/>
    <cellStyle name="Стиль 1 16 9 2 15" xfId="5533"/>
    <cellStyle name="Стиль 1 16 9 2 16" xfId="5534"/>
    <cellStyle name="Стиль 1 16 9 2 17" xfId="5535"/>
    <cellStyle name="Стиль 1 16 9 2 18" xfId="5536"/>
    <cellStyle name="Стиль 1 16 9 2 2" xfId="5537"/>
    <cellStyle name="Стиль 1 16 9 2 3" xfId="5538"/>
    <cellStyle name="Стиль 1 16 9 2 4" xfId="5539"/>
    <cellStyle name="Стиль 1 16 9 2 5" xfId="5540"/>
    <cellStyle name="Стиль 1 16 9 2 6" xfId="5541"/>
    <cellStyle name="Стиль 1 16 9 2 7" xfId="5542"/>
    <cellStyle name="Стиль 1 16 9 2 8" xfId="5543"/>
    <cellStyle name="Стиль 1 16 9 2 9" xfId="5544"/>
    <cellStyle name="Стиль 1 16 9 20" xfId="5545"/>
    <cellStyle name="Стиль 1 16 9 21" xfId="5546"/>
    <cellStyle name="Стиль 1 16 9 22" xfId="5547"/>
    <cellStyle name="Стиль 1 16 9 23" xfId="5548"/>
    <cellStyle name="Стиль 1 16 9 24" xfId="5549"/>
    <cellStyle name="Стиль 1 16 9 3" xfId="5550"/>
    <cellStyle name="Стиль 1 16 9 4" xfId="5551"/>
    <cellStyle name="Стиль 1 16 9 5" xfId="5552"/>
    <cellStyle name="Стиль 1 16 9 6" xfId="5553"/>
    <cellStyle name="Стиль 1 16 9 7" xfId="5554"/>
    <cellStyle name="Стиль 1 16 9 8" xfId="5555"/>
    <cellStyle name="Стиль 1 16 9 9" xfId="5556"/>
    <cellStyle name="Стиль 1 17" xfId="5557"/>
    <cellStyle name="Стиль 1 18" xfId="5558"/>
    <cellStyle name="Стиль 1 19" xfId="5559"/>
    <cellStyle name="Стиль 1 2" xfId="5560"/>
    <cellStyle name="Стиль 1 2 10" xfId="5561"/>
    <cellStyle name="Стиль 1 2 11" xfId="5562"/>
    <cellStyle name="Стиль 1 2 12" xfId="5563"/>
    <cellStyle name="Стиль 1 2 13" xfId="5564"/>
    <cellStyle name="Стиль 1 2 14" xfId="5565"/>
    <cellStyle name="Стиль 1 2 15" xfId="5566"/>
    <cellStyle name="Стиль 1 2 16" xfId="5567"/>
    <cellStyle name="Стиль 1 2 17" xfId="5568"/>
    <cellStyle name="Стиль 1 2 18" xfId="5569"/>
    <cellStyle name="Стиль 1 2 19" xfId="5570"/>
    <cellStyle name="Стиль 1 2 2" xfId="5571"/>
    <cellStyle name="Стиль 1 2 2 10" xfId="5572"/>
    <cellStyle name="Стиль 1 2 2 11" xfId="5573"/>
    <cellStyle name="Стиль 1 2 2 12" xfId="5574"/>
    <cellStyle name="Стиль 1 2 2 13" xfId="5575"/>
    <cellStyle name="Стиль 1 2 2 14" xfId="5576"/>
    <cellStyle name="Стиль 1 2 2 15" xfId="5577"/>
    <cellStyle name="Стиль 1 2 2 16" xfId="5578"/>
    <cellStyle name="Стиль 1 2 2 17" xfId="5579"/>
    <cellStyle name="Стиль 1 2 2 18" xfId="5580"/>
    <cellStyle name="Стиль 1 2 2 19" xfId="5581"/>
    <cellStyle name="Стиль 1 2 2 2" xfId="5582"/>
    <cellStyle name="Стиль 1 2 2 2 10" xfId="5583"/>
    <cellStyle name="Стиль 1 2 2 2 10 10" xfId="5584"/>
    <cellStyle name="Стиль 1 2 2 2 10 11" xfId="5585"/>
    <cellStyle name="Стиль 1 2 2 2 10 12" xfId="5586"/>
    <cellStyle name="Стиль 1 2 2 2 10 13" xfId="5587"/>
    <cellStyle name="Стиль 1 2 2 2 10 14" xfId="5588"/>
    <cellStyle name="Стиль 1 2 2 2 10 15" xfId="5589"/>
    <cellStyle name="Стиль 1 2 2 2 10 16" xfId="5590"/>
    <cellStyle name="Стиль 1 2 2 2 10 17" xfId="5591"/>
    <cellStyle name="Стиль 1 2 2 2 10 18" xfId="5592"/>
    <cellStyle name="Стиль 1 2 2 2 10 2" xfId="5593"/>
    <cellStyle name="Стиль 1 2 2 2 10 3" xfId="5594"/>
    <cellStyle name="Стиль 1 2 2 2 10 4" xfId="5595"/>
    <cellStyle name="Стиль 1 2 2 2 10 5" xfId="5596"/>
    <cellStyle name="Стиль 1 2 2 2 10 6" xfId="5597"/>
    <cellStyle name="Стиль 1 2 2 2 10 7" xfId="5598"/>
    <cellStyle name="Стиль 1 2 2 2 10 8" xfId="5599"/>
    <cellStyle name="Стиль 1 2 2 2 10 9" xfId="5600"/>
    <cellStyle name="Стиль 1 2 2 2 11" xfId="5601"/>
    <cellStyle name="Стиль 1 2 2 2 12" xfId="5602"/>
    <cellStyle name="Стиль 1 2 2 2 13" xfId="5603"/>
    <cellStyle name="Стиль 1 2 2 2 14" xfId="5604"/>
    <cellStyle name="Стиль 1 2 2 2 15" xfId="5605"/>
    <cellStyle name="Стиль 1 2 2 2 16" xfId="5606"/>
    <cellStyle name="Стиль 1 2 2 2 17" xfId="5607"/>
    <cellStyle name="Стиль 1 2 2 2 18" xfId="5608"/>
    <cellStyle name="Стиль 1 2 2 2 19" xfId="5609"/>
    <cellStyle name="Стиль 1 2 2 2 2" xfId="5610"/>
    <cellStyle name="Стиль 1 2 2 2 2 10" xfId="5611"/>
    <cellStyle name="Стиль 1 2 2 2 2 10 10" xfId="5612"/>
    <cellStyle name="Стиль 1 2 2 2 2 10 11" xfId="5613"/>
    <cellStyle name="Стиль 1 2 2 2 2 10 12" xfId="5614"/>
    <cellStyle name="Стиль 1 2 2 2 2 10 13" xfId="5615"/>
    <cellStyle name="Стиль 1 2 2 2 2 10 14" xfId="5616"/>
    <cellStyle name="Стиль 1 2 2 2 2 10 15" xfId="5617"/>
    <cellStyle name="Стиль 1 2 2 2 2 10 16" xfId="5618"/>
    <cellStyle name="Стиль 1 2 2 2 2 10 17" xfId="5619"/>
    <cellStyle name="Стиль 1 2 2 2 2 10 18" xfId="5620"/>
    <cellStyle name="Стиль 1 2 2 2 2 10 2" xfId="5621"/>
    <cellStyle name="Стиль 1 2 2 2 2 10 3" xfId="5622"/>
    <cellStyle name="Стиль 1 2 2 2 2 10 4" xfId="5623"/>
    <cellStyle name="Стиль 1 2 2 2 2 10 5" xfId="5624"/>
    <cellStyle name="Стиль 1 2 2 2 2 10 6" xfId="5625"/>
    <cellStyle name="Стиль 1 2 2 2 2 10 7" xfId="5626"/>
    <cellStyle name="Стиль 1 2 2 2 2 10 8" xfId="5627"/>
    <cellStyle name="Стиль 1 2 2 2 2 10 9" xfId="5628"/>
    <cellStyle name="Стиль 1 2 2 2 2 11" xfId="5629"/>
    <cellStyle name="Стиль 1 2 2 2 2 12" xfId="5630"/>
    <cellStyle name="Стиль 1 2 2 2 2 13" xfId="5631"/>
    <cellStyle name="Стиль 1 2 2 2 2 14" xfId="5632"/>
    <cellStyle name="Стиль 1 2 2 2 2 15" xfId="5633"/>
    <cellStyle name="Стиль 1 2 2 2 2 16" xfId="5634"/>
    <cellStyle name="Стиль 1 2 2 2 2 17" xfId="5635"/>
    <cellStyle name="Стиль 1 2 2 2 2 18" xfId="5636"/>
    <cellStyle name="Стиль 1 2 2 2 2 19" xfId="5637"/>
    <cellStyle name="Стиль 1 2 2 2 2 2" xfId="5638"/>
    <cellStyle name="Стиль 1 2 2 2 2 2 10" xfId="5639"/>
    <cellStyle name="Стиль 1 2 2 2 2 2 11" xfId="5640"/>
    <cellStyle name="Стиль 1 2 2 2 2 2 12" xfId="5641"/>
    <cellStyle name="Стиль 1 2 2 2 2 2 13" xfId="5642"/>
    <cellStyle name="Стиль 1 2 2 2 2 2 14" xfId="5643"/>
    <cellStyle name="Стиль 1 2 2 2 2 2 15" xfId="5644"/>
    <cellStyle name="Стиль 1 2 2 2 2 2 16" xfId="5645"/>
    <cellStyle name="Стиль 1 2 2 2 2 2 17" xfId="5646"/>
    <cellStyle name="Стиль 1 2 2 2 2 2 18" xfId="5647"/>
    <cellStyle name="Стиль 1 2 2 2 2 2 19" xfId="5648"/>
    <cellStyle name="Стиль 1 2 2 2 2 2 2" xfId="5649"/>
    <cellStyle name="Стиль 1 2 2 2 2 2 2 10" xfId="5650"/>
    <cellStyle name="Стиль 1 2 2 2 2 2 2 11" xfId="5651"/>
    <cellStyle name="Стиль 1 2 2 2 2 2 2 12" xfId="5652"/>
    <cellStyle name="Стиль 1 2 2 2 2 2 2 13" xfId="5653"/>
    <cellStyle name="Стиль 1 2 2 2 2 2 2 14" xfId="5654"/>
    <cellStyle name="Стиль 1 2 2 2 2 2 2 15" xfId="5655"/>
    <cellStyle name="Стиль 1 2 2 2 2 2 2 16" xfId="5656"/>
    <cellStyle name="Стиль 1 2 2 2 2 2 2 17" xfId="5657"/>
    <cellStyle name="Стиль 1 2 2 2 2 2 2 18" xfId="5658"/>
    <cellStyle name="Стиль 1 2 2 2 2 2 2 19" xfId="5659"/>
    <cellStyle name="Стиль 1 2 2 2 2 2 2 2" xfId="5660"/>
    <cellStyle name="Стиль 1 2 2 2 2 2 2 2 10" xfId="5661"/>
    <cellStyle name="Стиль 1 2 2 2 2 2 2 2 11" xfId="5662"/>
    <cellStyle name="Стиль 1 2 2 2 2 2 2 2 12" xfId="5663"/>
    <cellStyle name="Стиль 1 2 2 2 2 2 2 2 13" xfId="5664"/>
    <cellStyle name="Стиль 1 2 2 2 2 2 2 2 14" xfId="5665"/>
    <cellStyle name="Стиль 1 2 2 2 2 2 2 2 15" xfId="5666"/>
    <cellStyle name="Стиль 1 2 2 2 2 2 2 2 16" xfId="5667"/>
    <cellStyle name="Стиль 1 2 2 2 2 2 2 2 17" xfId="5668"/>
    <cellStyle name="Стиль 1 2 2 2 2 2 2 2 18" xfId="5669"/>
    <cellStyle name="Стиль 1 2 2 2 2 2 2 2 2" xfId="5670"/>
    <cellStyle name="Стиль 1 2 2 2 2 2 2 2 3" xfId="5671"/>
    <cellStyle name="Стиль 1 2 2 2 2 2 2 2 4" xfId="5672"/>
    <cellStyle name="Стиль 1 2 2 2 2 2 2 2 5" xfId="5673"/>
    <cellStyle name="Стиль 1 2 2 2 2 2 2 2 6" xfId="5674"/>
    <cellStyle name="Стиль 1 2 2 2 2 2 2 2 7" xfId="5675"/>
    <cellStyle name="Стиль 1 2 2 2 2 2 2 2 8" xfId="5676"/>
    <cellStyle name="Стиль 1 2 2 2 2 2 2 2 9" xfId="5677"/>
    <cellStyle name="Стиль 1 2 2 2 2 2 2 20" xfId="5678"/>
    <cellStyle name="Стиль 1 2 2 2 2 2 2 21" xfId="5679"/>
    <cellStyle name="Стиль 1 2 2 2 2 2 2 22" xfId="5680"/>
    <cellStyle name="Стиль 1 2 2 2 2 2 2 23" xfId="5681"/>
    <cellStyle name="Стиль 1 2 2 2 2 2 2 24" xfId="5682"/>
    <cellStyle name="Стиль 1 2 2 2 2 2 2 3" xfId="5683"/>
    <cellStyle name="Стиль 1 2 2 2 2 2 2 4" xfId="5684"/>
    <cellStyle name="Стиль 1 2 2 2 2 2 2 5" xfId="5685"/>
    <cellStyle name="Стиль 1 2 2 2 2 2 2 6" xfId="5686"/>
    <cellStyle name="Стиль 1 2 2 2 2 2 2 7" xfId="5687"/>
    <cellStyle name="Стиль 1 2 2 2 2 2 2 8" xfId="5688"/>
    <cellStyle name="Стиль 1 2 2 2 2 2 2 9" xfId="5689"/>
    <cellStyle name="Стиль 1 2 2 2 2 2 20" xfId="5690"/>
    <cellStyle name="Стиль 1 2 2 2 2 2 21" xfId="5691"/>
    <cellStyle name="Стиль 1 2 2 2 2 2 22" xfId="5692"/>
    <cellStyle name="Стиль 1 2 2 2 2 2 23" xfId="5693"/>
    <cellStyle name="Стиль 1 2 2 2 2 2 24" xfId="5694"/>
    <cellStyle name="Стиль 1 2 2 2 2 2 25" xfId="5695"/>
    <cellStyle name="Стиль 1 2 2 2 2 2 3" xfId="5696"/>
    <cellStyle name="Стиль 1 2 2 2 2 2 4" xfId="5697"/>
    <cellStyle name="Стиль 1 2 2 2 2 2 4 10" xfId="5698"/>
    <cellStyle name="Стиль 1 2 2 2 2 2 4 11" xfId="5699"/>
    <cellStyle name="Стиль 1 2 2 2 2 2 4 12" xfId="5700"/>
    <cellStyle name="Стиль 1 2 2 2 2 2 4 13" xfId="5701"/>
    <cellStyle name="Стиль 1 2 2 2 2 2 4 14" xfId="5702"/>
    <cellStyle name="Стиль 1 2 2 2 2 2 4 15" xfId="5703"/>
    <cellStyle name="Стиль 1 2 2 2 2 2 4 16" xfId="5704"/>
    <cellStyle name="Стиль 1 2 2 2 2 2 4 17" xfId="5705"/>
    <cellStyle name="Стиль 1 2 2 2 2 2 4 18" xfId="5706"/>
    <cellStyle name="Стиль 1 2 2 2 2 2 4 2" xfId="5707"/>
    <cellStyle name="Стиль 1 2 2 2 2 2 4 3" xfId="5708"/>
    <cellStyle name="Стиль 1 2 2 2 2 2 4 4" xfId="5709"/>
    <cellStyle name="Стиль 1 2 2 2 2 2 4 5" xfId="5710"/>
    <cellStyle name="Стиль 1 2 2 2 2 2 4 6" xfId="5711"/>
    <cellStyle name="Стиль 1 2 2 2 2 2 4 7" xfId="5712"/>
    <cellStyle name="Стиль 1 2 2 2 2 2 4 8" xfId="5713"/>
    <cellStyle name="Стиль 1 2 2 2 2 2 4 9" xfId="5714"/>
    <cellStyle name="Стиль 1 2 2 2 2 2 5" xfId="5715"/>
    <cellStyle name="Стиль 1 2 2 2 2 2 6" xfId="5716"/>
    <cellStyle name="Стиль 1 2 2 2 2 2 7" xfId="5717"/>
    <cellStyle name="Стиль 1 2 2 2 2 2 8" xfId="5718"/>
    <cellStyle name="Стиль 1 2 2 2 2 2 9" xfId="5719"/>
    <cellStyle name="Стиль 1 2 2 2 2 20" xfId="5720"/>
    <cellStyle name="Стиль 1 2 2 2 2 21" xfId="5721"/>
    <cellStyle name="Стиль 1 2 2 2 2 22" xfId="5722"/>
    <cellStyle name="Стиль 1 2 2 2 2 23" xfId="5723"/>
    <cellStyle name="Стиль 1 2 2 2 2 24" xfId="5724"/>
    <cellStyle name="Стиль 1 2 2 2 2 25" xfId="5725"/>
    <cellStyle name="Стиль 1 2 2 2 2 26" xfId="5726"/>
    <cellStyle name="Стиль 1 2 2 2 2 27" xfId="5727"/>
    <cellStyle name="Стиль 1 2 2 2 2 28" xfId="5728"/>
    <cellStyle name="Стиль 1 2 2 2 2 29" xfId="5729"/>
    <cellStyle name="Стиль 1 2 2 2 2 3" xfId="5730"/>
    <cellStyle name="Стиль 1 2 2 2 2 30" xfId="5731"/>
    <cellStyle name="Стиль 1 2 2 2 2 31" xfId="5732"/>
    <cellStyle name="Стиль 1 2 2 2 2 4" xfId="5733"/>
    <cellStyle name="Стиль 1 2 2 2 2 5" xfId="5734"/>
    <cellStyle name="Стиль 1 2 2 2 2 6" xfId="5735"/>
    <cellStyle name="Стиль 1 2 2 2 2 7" xfId="5736"/>
    <cellStyle name="Стиль 1 2 2 2 2 8" xfId="5737"/>
    <cellStyle name="Стиль 1 2 2 2 2 9" xfId="5738"/>
    <cellStyle name="Стиль 1 2 2 2 2 9 10" xfId="5739"/>
    <cellStyle name="Стиль 1 2 2 2 2 9 11" xfId="5740"/>
    <cellStyle name="Стиль 1 2 2 2 2 9 12" xfId="5741"/>
    <cellStyle name="Стиль 1 2 2 2 2 9 13" xfId="5742"/>
    <cellStyle name="Стиль 1 2 2 2 2 9 14" xfId="5743"/>
    <cellStyle name="Стиль 1 2 2 2 2 9 15" xfId="5744"/>
    <cellStyle name="Стиль 1 2 2 2 2 9 16" xfId="5745"/>
    <cellStyle name="Стиль 1 2 2 2 2 9 17" xfId="5746"/>
    <cellStyle name="Стиль 1 2 2 2 2 9 18" xfId="5747"/>
    <cellStyle name="Стиль 1 2 2 2 2 9 19" xfId="5748"/>
    <cellStyle name="Стиль 1 2 2 2 2 9 2" xfId="5749"/>
    <cellStyle name="Стиль 1 2 2 2 2 9 2 10" xfId="5750"/>
    <cellStyle name="Стиль 1 2 2 2 2 9 2 11" xfId="5751"/>
    <cellStyle name="Стиль 1 2 2 2 2 9 2 12" xfId="5752"/>
    <cellStyle name="Стиль 1 2 2 2 2 9 2 13" xfId="5753"/>
    <cellStyle name="Стиль 1 2 2 2 2 9 2 14" xfId="5754"/>
    <cellStyle name="Стиль 1 2 2 2 2 9 2 15" xfId="5755"/>
    <cellStyle name="Стиль 1 2 2 2 2 9 2 16" xfId="5756"/>
    <cellStyle name="Стиль 1 2 2 2 2 9 2 17" xfId="5757"/>
    <cellStyle name="Стиль 1 2 2 2 2 9 2 18" xfId="5758"/>
    <cellStyle name="Стиль 1 2 2 2 2 9 2 2" xfId="5759"/>
    <cellStyle name="Стиль 1 2 2 2 2 9 2 3" xfId="5760"/>
    <cellStyle name="Стиль 1 2 2 2 2 9 2 4" xfId="5761"/>
    <cellStyle name="Стиль 1 2 2 2 2 9 2 5" xfId="5762"/>
    <cellStyle name="Стиль 1 2 2 2 2 9 2 6" xfId="5763"/>
    <cellStyle name="Стиль 1 2 2 2 2 9 2 7" xfId="5764"/>
    <cellStyle name="Стиль 1 2 2 2 2 9 2 8" xfId="5765"/>
    <cellStyle name="Стиль 1 2 2 2 2 9 2 9" xfId="5766"/>
    <cellStyle name="Стиль 1 2 2 2 2 9 20" xfId="5767"/>
    <cellStyle name="Стиль 1 2 2 2 2 9 21" xfId="5768"/>
    <cellStyle name="Стиль 1 2 2 2 2 9 22" xfId="5769"/>
    <cellStyle name="Стиль 1 2 2 2 2 9 23" xfId="5770"/>
    <cellStyle name="Стиль 1 2 2 2 2 9 24" xfId="5771"/>
    <cellStyle name="Стиль 1 2 2 2 2 9 3" xfId="5772"/>
    <cellStyle name="Стиль 1 2 2 2 2 9 4" xfId="5773"/>
    <cellStyle name="Стиль 1 2 2 2 2 9 5" xfId="5774"/>
    <cellStyle name="Стиль 1 2 2 2 2 9 6" xfId="5775"/>
    <cellStyle name="Стиль 1 2 2 2 2 9 7" xfId="5776"/>
    <cellStyle name="Стиль 1 2 2 2 2 9 8" xfId="5777"/>
    <cellStyle name="Стиль 1 2 2 2 2 9 9" xfId="5778"/>
    <cellStyle name="Стиль 1 2 2 2 20" xfId="5779"/>
    <cellStyle name="Стиль 1 2 2 2 21" xfId="5780"/>
    <cellStyle name="Стиль 1 2 2 2 22" xfId="5781"/>
    <cellStyle name="Стиль 1 2 2 2 23" xfId="5782"/>
    <cellStyle name="Стиль 1 2 2 2 24" xfId="5783"/>
    <cellStyle name="Стиль 1 2 2 2 25" xfId="5784"/>
    <cellStyle name="Стиль 1 2 2 2 26" xfId="5785"/>
    <cellStyle name="Стиль 1 2 2 2 27" xfId="5786"/>
    <cellStyle name="Стиль 1 2 2 2 28" xfId="5787"/>
    <cellStyle name="Стиль 1 2 2 2 29" xfId="5788"/>
    <cellStyle name="Стиль 1 2 2 2 3" xfId="5789"/>
    <cellStyle name="Стиль 1 2 2 2 3 10" xfId="5790"/>
    <cellStyle name="Стиль 1 2 2 2 3 11" xfId="5791"/>
    <cellStyle name="Стиль 1 2 2 2 3 12" xfId="5792"/>
    <cellStyle name="Стиль 1 2 2 2 3 13" xfId="5793"/>
    <cellStyle name="Стиль 1 2 2 2 3 14" xfId="5794"/>
    <cellStyle name="Стиль 1 2 2 2 3 15" xfId="5795"/>
    <cellStyle name="Стиль 1 2 2 2 3 16" xfId="5796"/>
    <cellStyle name="Стиль 1 2 2 2 3 17" xfId="5797"/>
    <cellStyle name="Стиль 1 2 2 2 3 18" xfId="5798"/>
    <cellStyle name="Стиль 1 2 2 2 3 19" xfId="5799"/>
    <cellStyle name="Стиль 1 2 2 2 3 2" xfId="5800"/>
    <cellStyle name="Стиль 1 2 2 2 3 2 10" xfId="5801"/>
    <cellStyle name="Стиль 1 2 2 2 3 2 11" xfId="5802"/>
    <cellStyle name="Стиль 1 2 2 2 3 2 12" xfId="5803"/>
    <cellStyle name="Стиль 1 2 2 2 3 2 13" xfId="5804"/>
    <cellStyle name="Стиль 1 2 2 2 3 2 14" xfId="5805"/>
    <cellStyle name="Стиль 1 2 2 2 3 2 15" xfId="5806"/>
    <cellStyle name="Стиль 1 2 2 2 3 2 16" xfId="5807"/>
    <cellStyle name="Стиль 1 2 2 2 3 2 17" xfId="5808"/>
    <cellStyle name="Стиль 1 2 2 2 3 2 18" xfId="5809"/>
    <cellStyle name="Стиль 1 2 2 2 3 2 19" xfId="5810"/>
    <cellStyle name="Стиль 1 2 2 2 3 2 2" xfId="5811"/>
    <cellStyle name="Стиль 1 2 2 2 3 2 2 10" xfId="5812"/>
    <cellStyle name="Стиль 1 2 2 2 3 2 2 11" xfId="5813"/>
    <cellStyle name="Стиль 1 2 2 2 3 2 2 12" xfId="5814"/>
    <cellStyle name="Стиль 1 2 2 2 3 2 2 13" xfId="5815"/>
    <cellStyle name="Стиль 1 2 2 2 3 2 2 14" xfId="5816"/>
    <cellStyle name="Стиль 1 2 2 2 3 2 2 15" xfId="5817"/>
    <cellStyle name="Стиль 1 2 2 2 3 2 2 16" xfId="5818"/>
    <cellStyle name="Стиль 1 2 2 2 3 2 2 17" xfId="5819"/>
    <cellStyle name="Стиль 1 2 2 2 3 2 2 18" xfId="5820"/>
    <cellStyle name="Стиль 1 2 2 2 3 2 2 2" xfId="5821"/>
    <cellStyle name="Стиль 1 2 2 2 3 2 2 3" xfId="5822"/>
    <cellStyle name="Стиль 1 2 2 2 3 2 2 4" xfId="5823"/>
    <cellStyle name="Стиль 1 2 2 2 3 2 2 5" xfId="5824"/>
    <cellStyle name="Стиль 1 2 2 2 3 2 2 6" xfId="5825"/>
    <cellStyle name="Стиль 1 2 2 2 3 2 2 7" xfId="5826"/>
    <cellStyle name="Стиль 1 2 2 2 3 2 2 8" xfId="5827"/>
    <cellStyle name="Стиль 1 2 2 2 3 2 2 9" xfId="5828"/>
    <cellStyle name="Стиль 1 2 2 2 3 2 20" xfId="5829"/>
    <cellStyle name="Стиль 1 2 2 2 3 2 21" xfId="5830"/>
    <cellStyle name="Стиль 1 2 2 2 3 2 22" xfId="5831"/>
    <cellStyle name="Стиль 1 2 2 2 3 2 23" xfId="5832"/>
    <cellStyle name="Стиль 1 2 2 2 3 2 24" xfId="5833"/>
    <cellStyle name="Стиль 1 2 2 2 3 2 3" xfId="5834"/>
    <cellStyle name="Стиль 1 2 2 2 3 2 4" xfId="5835"/>
    <cellStyle name="Стиль 1 2 2 2 3 2 5" xfId="5836"/>
    <cellStyle name="Стиль 1 2 2 2 3 2 6" xfId="5837"/>
    <cellStyle name="Стиль 1 2 2 2 3 2 7" xfId="5838"/>
    <cellStyle name="Стиль 1 2 2 2 3 2 8" xfId="5839"/>
    <cellStyle name="Стиль 1 2 2 2 3 2 9" xfId="5840"/>
    <cellStyle name="Стиль 1 2 2 2 3 20" xfId="5841"/>
    <cellStyle name="Стиль 1 2 2 2 3 21" xfId="5842"/>
    <cellStyle name="Стиль 1 2 2 2 3 22" xfId="5843"/>
    <cellStyle name="Стиль 1 2 2 2 3 23" xfId="5844"/>
    <cellStyle name="Стиль 1 2 2 2 3 24" xfId="5845"/>
    <cellStyle name="Стиль 1 2 2 2 3 25" xfId="5846"/>
    <cellStyle name="Стиль 1 2 2 2 3 3" xfId="5847"/>
    <cellStyle name="Стиль 1 2 2 2 3 4" xfId="5848"/>
    <cellStyle name="Стиль 1 2 2 2 3 4 10" xfId="5849"/>
    <cellStyle name="Стиль 1 2 2 2 3 4 11" xfId="5850"/>
    <cellStyle name="Стиль 1 2 2 2 3 4 12" xfId="5851"/>
    <cellStyle name="Стиль 1 2 2 2 3 4 13" xfId="5852"/>
    <cellStyle name="Стиль 1 2 2 2 3 4 14" xfId="5853"/>
    <cellStyle name="Стиль 1 2 2 2 3 4 15" xfId="5854"/>
    <cellStyle name="Стиль 1 2 2 2 3 4 16" xfId="5855"/>
    <cellStyle name="Стиль 1 2 2 2 3 4 17" xfId="5856"/>
    <cellStyle name="Стиль 1 2 2 2 3 4 18" xfId="5857"/>
    <cellStyle name="Стиль 1 2 2 2 3 4 2" xfId="5858"/>
    <cellStyle name="Стиль 1 2 2 2 3 4 3" xfId="5859"/>
    <cellStyle name="Стиль 1 2 2 2 3 4 4" xfId="5860"/>
    <cellStyle name="Стиль 1 2 2 2 3 4 5" xfId="5861"/>
    <cellStyle name="Стиль 1 2 2 2 3 4 6" xfId="5862"/>
    <cellStyle name="Стиль 1 2 2 2 3 4 7" xfId="5863"/>
    <cellStyle name="Стиль 1 2 2 2 3 4 8" xfId="5864"/>
    <cellStyle name="Стиль 1 2 2 2 3 4 9" xfId="5865"/>
    <cellStyle name="Стиль 1 2 2 2 3 5" xfId="5866"/>
    <cellStyle name="Стиль 1 2 2 2 3 6" xfId="5867"/>
    <cellStyle name="Стиль 1 2 2 2 3 7" xfId="5868"/>
    <cellStyle name="Стиль 1 2 2 2 3 8" xfId="5869"/>
    <cellStyle name="Стиль 1 2 2 2 3 9" xfId="5870"/>
    <cellStyle name="Стиль 1 2 2 2 30" xfId="5871"/>
    <cellStyle name="Стиль 1 2 2 2 31" xfId="5872"/>
    <cellStyle name="Стиль 1 2 2 2 4" xfId="5873"/>
    <cellStyle name="Стиль 1 2 2 2 5" xfId="5874"/>
    <cellStyle name="Стиль 1 2 2 2 6" xfId="5875"/>
    <cellStyle name="Стиль 1 2 2 2 7" xfId="5876"/>
    <cellStyle name="Стиль 1 2 2 2 8" xfId="5877"/>
    <cellStyle name="Стиль 1 2 2 2 9" xfId="5878"/>
    <cellStyle name="Стиль 1 2 2 2 9 10" xfId="5879"/>
    <cellStyle name="Стиль 1 2 2 2 9 11" xfId="5880"/>
    <cellStyle name="Стиль 1 2 2 2 9 12" xfId="5881"/>
    <cellStyle name="Стиль 1 2 2 2 9 13" xfId="5882"/>
    <cellStyle name="Стиль 1 2 2 2 9 14" xfId="5883"/>
    <cellStyle name="Стиль 1 2 2 2 9 15" xfId="5884"/>
    <cellStyle name="Стиль 1 2 2 2 9 16" xfId="5885"/>
    <cellStyle name="Стиль 1 2 2 2 9 17" xfId="5886"/>
    <cellStyle name="Стиль 1 2 2 2 9 18" xfId="5887"/>
    <cellStyle name="Стиль 1 2 2 2 9 19" xfId="5888"/>
    <cellStyle name="Стиль 1 2 2 2 9 2" xfId="5889"/>
    <cellStyle name="Стиль 1 2 2 2 9 2 10" xfId="5890"/>
    <cellStyle name="Стиль 1 2 2 2 9 2 11" xfId="5891"/>
    <cellStyle name="Стиль 1 2 2 2 9 2 12" xfId="5892"/>
    <cellStyle name="Стиль 1 2 2 2 9 2 13" xfId="5893"/>
    <cellStyle name="Стиль 1 2 2 2 9 2 14" xfId="5894"/>
    <cellStyle name="Стиль 1 2 2 2 9 2 15" xfId="5895"/>
    <cellStyle name="Стиль 1 2 2 2 9 2 16" xfId="5896"/>
    <cellStyle name="Стиль 1 2 2 2 9 2 17" xfId="5897"/>
    <cellStyle name="Стиль 1 2 2 2 9 2 18" xfId="5898"/>
    <cellStyle name="Стиль 1 2 2 2 9 2 2" xfId="5899"/>
    <cellStyle name="Стиль 1 2 2 2 9 2 3" xfId="5900"/>
    <cellStyle name="Стиль 1 2 2 2 9 2 4" xfId="5901"/>
    <cellStyle name="Стиль 1 2 2 2 9 2 5" xfId="5902"/>
    <cellStyle name="Стиль 1 2 2 2 9 2 6" xfId="5903"/>
    <cellStyle name="Стиль 1 2 2 2 9 2 7" xfId="5904"/>
    <cellStyle name="Стиль 1 2 2 2 9 2 8" xfId="5905"/>
    <cellStyle name="Стиль 1 2 2 2 9 2 9" xfId="5906"/>
    <cellStyle name="Стиль 1 2 2 2 9 20" xfId="5907"/>
    <cellStyle name="Стиль 1 2 2 2 9 21" xfId="5908"/>
    <cellStyle name="Стиль 1 2 2 2 9 22" xfId="5909"/>
    <cellStyle name="Стиль 1 2 2 2 9 23" xfId="5910"/>
    <cellStyle name="Стиль 1 2 2 2 9 24" xfId="5911"/>
    <cellStyle name="Стиль 1 2 2 2 9 3" xfId="5912"/>
    <cellStyle name="Стиль 1 2 2 2 9 4" xfId="5913"/>
    <cellStyle name="Стиль 1 2 2 2 9 5" xfId="5914"/>
    <cellStyle name="Стиль 1 2 2 2 9 6" xfId="5915"/>
    <cellStyle name="Стиль 1 2 2 2 9 7" xfId="5916"/>
    <cellStyle name="Стиль 1 2 2 2 9 8" xfId="5917"/>
    <cellStyle name="Стиль 1 2 2 2 9 9" xfId="5918"/>
    <cellStyle name="Стиль 1 2 2 20" xfId="5919"/>
    <cellStyle name="Стиль 1 2 2 21" xfId="5920"/>
    <cellStyle name="Стиль 1 2 2 22" xfId="5921"/>
    <cellStyle name="Стиль 1 2 2 23" xfId="5922"/>
    <cellStyle name="Стиль 1 2 2 24" xfId="5923"/>
    <cellStyle name="Стиль 1 2 2 25" xfId="5924"/>
    <cellStyle name="Стиль 1 2 2 26" xfId="5925"/>
    <cellStyle name="Стиль 1 2 2 27" xfId="5926"/>
    <cellStyle name="Стиль 1 2 2 28" xfId="5927"/>
    <cellStyle name="Стиль 1 2 2 29" xfId="5928"/>
    <cellStyle name="Стиль 1 2 2 3" xfId="5929"/>
    <cellStyle name="Стиль 1 2 2 30" xfId="5930"/>
    <cellStyle name="Стиль 1 2 2 31" xfId="5931"/>
    <cellStyle name="Стиль 1 2 2 32" xfId="5932"/>
    <cellStyle name="Стиль 1 2 2 33" xfId="5933"/>
    <cellStyle name="Стиль 1 2 2 34" xfId="5934"/>
    <cellStyle name="Стиль 1 2 2 35" xfId="5935"/>
    <cellStyle name="Стиль 1 2 2 36" xfId="5936"/>
    <cellStyle name="Стиль 1 2 2 37" xfId="5937"/>
    <cellStyle name="Стиль 1 2 2 38" xfId="5938"/>
    <cellStyle name="Стиль 1 2 2 39" xfId="5939"/>
    <cellStyle name="Стиль 1 2 2 4" xfId="5940"/>
    <cellStyle name="Стиль 1 2 2 40" xfId="5941"/>
    <cellStyle name="Стиль 1 2 2 41" xfId="5942"/>
    <cellStyle name="Стиль 1 2 2 42" xfId="5943"/>
    <cellStyle name="Стиль 1 2 2 43" xfId="5944"/>
    <cellStyle name="Стиль 1 2 2 44" xfId="5945"/>
    <cellStyle name="Стиль 1 2 2 44 10" xfId="5946"/>
    <cellStyle name="Стиль 1 2 2 44 11" xfId="5947"/>
    <cellStyle name="Стиль 1 2 2 44 12" xfId="5948"/>
    <cellStyle name="Стиль 1 2 2 44 13" xfId="5949"/>
    <cellStyle name="Стиль 1 2 2 44 14" xfId="5950"/>
    <cellStyle name="Стиль 1 2 2 44 15" xfId="5951"/>
    <cellStyle name="Стиль 1 2 2 44 16" xfId="5952"/>
    <cellStyle name="Стиль 1 2 2 44 17" xfId="5953"/>
    <cellStyle name="Стиль 1 2 2 44 18" xfId="5954"/>
    <cellStyle name="Стиль 1 2 2 44 19" xfId="5955"/>
    <cellStyle name="Стиль 1 2 2 44 2" xfId="5956"/>
    <cellStyle name="Стиль 1 2 2 44 2 10" xfId="5957"/>
    <cellStyle name="Стиль 1 2 2 44 2 11" xfId="5958"/>
    <cellStyle name="Стиль 1 2 2 44 2 12" xfId="5959"/>
    <cellStyle name="Стиль 1 2 2 44 2 13" xfId="5960"/>
    <cellStyle name="Стиль 1 2 2 44 2 14" xfId="5961"/>
    <cellStyle name="Стиль 1 2 2 44 2 15" xfId="5962"/>
    <cellStyle name="Стиль 1 2 2 44 2 16" xfId="5963"/>
    <cellStyle name="Стиль 1 2 2 44 2 17" xfId="5964"/>
    <cellStyle name="Стиль 1 2 2 44 2 18" xfId="5965"/>
    <cellStyle name="Стиль 1 2 2 44 2 19" xfId="5966"/>
    <cellStyle name="Стиль 1 2 2 44 2 2" xfId="5967"/>
    <cellStyle name="Стиль 1 2 2 44 2 2 10" xfId="5968"/>
    <cellStyle name="Стиль 1 2 2 44 2 2 11" xfId="5969"/>
    <cellStyle name="Стиль 1 2 2 44 2 2 12" xfId="5970"/>
    <cellStyle name="Стиль 1 2 2 44 2 2 13" xfId="5971"/>
    <cellStyle name="Стиль 1 2 2 44 2 2 14" xfId="5972"/>
    <cellStyle name="Стиль 1 2 2 44 2 2 15" xfId="5973"/>
    <cellStyle name="Стиль 1 2 2 44 2 2 16" xfId="5974"/>
    <cellStyle name="Стиль 1 2 2 44 2 2 17" xfId="5975"/>
    <cellStyle name="Стиль 1 2 2 44 2 2 18" xfId="5976"/>
    <cellStyle name="Стиль 1 2 2 44 2 2 2" xfId="5977"/>
    <cellStyle name="Стиль 1 2 2 44 2 2 3" xfId="5978"/>
    <cellStyle name="Стиль 1 2 2 44 2 2 4" xfId="5979"/>
    <cellStyle name="Стиль 1 2 2 44 2 2 5" xfId="5980"/>
    <cellStyle name="Стиль 1 2 2 44 2 2 6" xfId="5981"/>
    <cellStyle name="Стиль 1 2 2 44 2 2 7" xfId="5982"/>
    <cellStyle name="Стиль 1 2 2 44 2 2 8" xfId="5983"/>
    <cellStyle name="Стиль 1 2 2 44 2 2 9" xfId="5984"/>
    <cellStyle name="Стиль 1 2 2 44 2 20" xfId="5985"/>
    <cellStyle name="Стиль 1 2 2 44 2 21" xfId="5986"/>
    <cellStyle name="Стиль 1 2 2 44 2 22" xfId="5987"/>
    <cellStyle name="Стиль 1 2 2 44 2 23" xfId="5988"/>
    <cellStyle name="Стиль 1 2 2 44 2 24" xfId="5989"/>
    <cellStyle name="Стиль 1 2 2 44 2 3" xfId="5990"/>
    <cellStyle name="Стиль 1 2 2 44 2 4" xfId="5991"/>
    <cellStyle name="Стиль 1 2 2 44 2 5" xfId="5992"/>
    <cellStyle name="Стиль 1 2 2 44 2 6" xfId="5993"/>
    <cellStyle name="Стиль 1 2 2 44 2 7" xfId="5994"/>
    <cellStyle name="Стиль 1 2 2 44 2 8" xfId="5995"/>
    <cellStyle name="Стиль 1 2 2 44 2 9" xfId="5996"/>
    <cellStyle name="Стиль 1 2 2 44 20" xfId="5997"/>
    <cellStyle name="Стиль 1 2 2 44 21" xfId="5998"/>
    <cellStyle name="Стиль 1 2 2 44 22" xfId="5999"/>
    <cellStyle name="Стиль 1 2 2 44 23" xfId="6000"/>
    <cellStyle name="Стиль 1 2 2 44 24" xfId="6001"/>
    <cellStyle name="Стиль 1 2 2 44 25" xfId="6002"/>
    <cellStyle name="Стиль 1 2 2 44 3" xfId="6003"/>
    <cellStyle name="Стиль 1 2 2 44 4" xfId="6004"/>
    <cellStyle name="Стиль 1 2 2 44 4 10" xfId="6005"/>
    <cellStyle name="Стиль 1 2 2 44 4 11" xfId="6006"/>
    <cellStyle name="Стиль 1 2 2 44 4 12" xfId="6007"/>
    <cellStyle name="Стиль 1 2 2 44 4 13" xfId="6008"/>
    <cellStyle name="Стиль 1 2 2 44 4 14" xfId="6009"/>
    <cellStyle name="Стиль 1 2 2 44 4 15" xfId="6010"/>
    <cellStyle name="Стиль 1 2 2 44 4 16" xfId="6011"/>
    <cellStyle name="Стиль 1 2 2 44 4 17" xfId="6012"/>
    <cellStyle name="Стиль 1 2 2 44 4 18" xfId="6013"/>
    <cellStyle name="Стиль 1 2 2 44 4 2" xfId="6014"/>
    <cellStyle name="Стиль 1 2 2 44 4 3" xfId="6015"/>
    <cellStyle name="Стиль 1 2 2 44 4 4" xfId="6016"/>
    <cellStyle name="Стиль 1 2 2 44 4 5" xfId="6017"/>
    <cellStyle name="Стиль 1 2 2 44 4 6" xfId="6018"/>
    <cellStyle name="Стиль 1 2 2 44 4 7" xfId="6019"/>
    <cellStyle name="Стиль 1 2 2 44 4 8" xfId="6020"/>
    <cellStyle name="Стиль 1 2 2 44 4 9" xfId="6021"/>
    <cellStyle name="Стиль 1 2 2 44 5" xfId="6022"/>
    <cellStyle name="Стиль 1 2 2 44 6" xfId="6023"/>
    <cellStyle name="Стиль 1 2 2 44 7" xfId="6024"/>
    <cellStyle name="Стиль 1 2 2 44 8" xfId="6025"/>
    <cellStyle name="Стиль 1 2 2 44 9" xfId="6026"/>
    <cellStyle name="Стиль 1 2 2 45" xfId="6027"/>
    <cellStyle name="Стиль 1 2 2 46" xfId="6028"/>
    <cellStyle name="Стиль 1 2 2 47" xfId="6029"/>
    <cellStyle name="Стиль 1 2 2 48" xfId="6030"/>
    <cellStyle name="Стиль 1 2 2 49" xfId="6031"/>
    <cellStyle name="Стиль 1 2 2 5" xfId="6032"/>
    <cellStyle name="Стиль 1 2 2 50" xfId="6033"/>
    <cellStyle name="Стиль 1 2 2 51" xfId="6034"/>
    <cellStyle name="Стиль 1 2 2 51 10" xfId="6035"/>
    <cellStyle name="Стиль 1 2 2 51 11" xfId="6036"/>
    <cellStyle name="Стиль 1 2 2 51 12" xfId="6037"/>
    <cellStyle name="Стиль 1 2 2 51 13" xfId="6038"/>
    <cellStyle name="Стиль 1 2 2 51 14" xfId="6039"/>
    <cellStyle name="Стиль 1 2 2 51 15" xfId="6040"/>
    <cellStyle name="Стиль 1 2 2 51 16" xfId="6041"/>
    <cellStyle name="Стиль 1 2 2 51 17" xfId="6042"/>
    <cellStyle name="Стиль 1 2 2 51 18" xfId="6043"/>
    <cellStyle name="Стиль 1 2 2 51 19" xfId="6044"/>
    <cellStyle name="Стиль 1 2 2 51 2" xfId="6045"/>
    <cellStyle name="Стиль 1 2 2 51 2 10" xfId="6046"/>
    <cellStyle name="Стиль 1 2 2 51 2 11" xfId="6047"/>
    <cellStyle name="Стиль 1 2 2 51 2 12" xfId="6048"/>
    <cellStyle name="Стиль 1 2 2 51 2 13" xfId="6049"/>
    <cellStyle name="Стиль 1 2 2 51 2 14" xfId="6050"/>
    <cellStyle name="Стиль 1 2 2 51 2 15" xfId="6051"/>
    <cellStyle name="Стиль 1 2 2 51 2 16" xfId="6052"/>
    <cellStyle name="Стиль 1 2 2 51 2 17" xfId="6053"/>
    <cellStyle name="Стиль 1 2 2 51 2 18" xfId="6054"/>
    <cellStyle name="Стиль 1 2 2 51 2 2" xfId="6055"/>
    <cellStyle name="Стиль 1 2 2 51 2 3" xfId="6056"/>
    <cellStyle name="Стиль 1 2 2 51 2 4" xfId="6057"/>
    <cellStyle name="Стиль 1 2 2 51 2 5" xfId="6058"/>
    <cellStyle name="Стиль 1 2 2 51 2 6" xfId="6059"/>
    <cellStyle name="Стиль 1 2 2 51 2 7" xfId="6060"/>
    <cellStyle name="Стиль 1 2 2 51 2 8" xfId="6061"/>
    <cellStyle name="Стиль 1 2 2 51 2 9" xfId="6062"/>
    <cellStyle name="Стиль 1 2 2 51 20" xfId="6063"/>
    <cellStyle name="Стиль 1 2 2 51 21" xfId="6064"/>
    <cellStyle name="Стиль 1 2 2 51 22" xfId="6065"/>
    <cellStyle name="Стиль 1 2 2 51 23" xfId="6066"/>
    <cellStyle name="Стиль 1 2 2 51 24" xfId="6067"/>
    <cellStyle name="Стиль 1 2 2 51 3" xfId="6068"/>
    <cellStyle name="Стиль 1 2 2 51 4" xfId="6069"/>
    <cellStyle name="Стиль 1 2 2 51 5" xfId="6070"/>
    <cellStyle name="Стиль 1 2 2 51 6" xfId="6071"/>
    <cellStyle name="Стиль 1 2 2 51 7" xfId="6072"/>
    <cellStyle name="Стиль 1 2 2 51 8" xfId="6073"/>
    <cellStyle name="Стиль 1 2 2 51 9" xfId="6074"/>
    <cellStyle name="Стиль 1 2 2 52" xfId="6075"/>
    <cellStyle name="Стиль 1 2 2 52 10" xfId="6076"/>
    <cellStyle name="Стиль 1 2 2 52 11" xfId="6077"/>
    <cellStyle name="Стиль 1 2 2 52 12" xfId="6078"/>
    <cellStyle name="Стиль 1 2 2 52 13" xfId="6079"/>
    <cellStyle name="Стиль 1 2 2 52 14" xfId="6080"/>
    <cellStyle name="Стиль 1 2 2 52 15" xfId="6081"/>
    <cellStyle name="Стиль 1 2 2 52 16" xfId="6082"/>
    <cellStyle name="Стиль 1 2 2 52 17" xfId="6083"/>
    <cellStyle name="Стиль 1 2 2 52 18" xfId="6084"/>
    <cellStyle name="Стиль 1 2 2 52 2" xfId="6085"/>
    <cellStyle name="Стиль 1 2 2 52 3" xfId="6086"/>
    <cellStyle name="Стиль 1 2 2 52 4" xfId="6087"/>
    <cellStyle name="Стиль 1 2 2 52 5" xfId="6088"/>
    <cellStyle name="Стиль 1 2 2 52 6" xfId="6089"/>
    <cellStyle name="Стиль 1 2 2 52 7" xfId="6090"/>
    <cellStyle name="Стиль 1 2 2 52 8" xfId="6091"/>
    <cellStyle name="Стиль 1 2 2 52 9" xfId="6092"/>
    <cellStyle name="Стиль 1 2 2 53" xfId="6093"/>
    <cellStyle name="Стиль 1 2 2 54" xfId="6094"/>
    <cellStyle name="Стиль 1 2 2 55" xfId="6095"/>
    <cellStyle name="Стиль 1 2 2 56" xfId="6096"/>
    <cellStyle name="Стиль 1 2 2 57" xfId="6097"/>
    <cellStyle name="Стиль 1 2 2 58" xfId="6098"/>
    <cellStyle name="Стиль 1 2 2 59" xfId="6099"/>
    <cellStyle name="Стиль 1 2 2 6" xfId="6100"/>
    <cellStyle name="Стиль 1 2 2 60" xfId="6101"/>
    <cellStyle name="Стиль 1 2 2 61" xfId="6102"/>
    <cellStyle name="Стиль 1 2 2 62" xfId="6103"/>
    <cellStyle name="Стиль 1 2 2 63" xfId="6104"/>
    <cellStyle name="Стиль 1 2 2 64" xfId="6105"/>
    <cellStyle name="Стиль 1 2 2 65" xfId="6106"/>
    <cellStyle name="Стиль 1 2 2 66" xfId="6107"/>
    <cellStyle name="Стиль 1 2 2 67" xfId="6108"/>
    <cellStyle name="Стиль 1 2 2 68" xfId="6109"/>
    <cellStyle name="Стиль 1 2 2 69" xfId="6110"/>
    <cellStyle name="Стиль 1 2 2 7" xfId="6111"/>
    <cellStyle name="Стиль 1 2 2 70" xfId="6112"/>
    <cellStyle name="Стиль 1 2 2 71" xfId="6113"/>
    <cellStyle name="Стиль 1 2 2 72" xfId="6114"/>
    <cellStyle name="Стиль 1 2 2 73" xfId="6115"/>
    <cellStyle name="Стиль 1 2 2 8" xfId="6116"/>
    <cellStyle name="Стиль 1 2 2 9" xfId="6117"/>
    <cellStyle name="Стиль 1 2 20" xfId="6118"/>
    <cellStyle name="Стиль 1 2 21" xfId="6119"/>
    <cellStyle name="Стиль 1 2 22" xfId="6120"/>
    <cellStyle name="Стиль 1 2 23" xfId="6121"/>
    <cellStyle name="Стиль 1 2 24" xfId="6122"/>
    <cellStyle name="Стиль 1 2 25" xfId="6123"/>
    <cellStyle name="Стиль 1 2 26" xfId="6124"/>
    <cellStyle name="Стиль 1 2 27" xfId="6125"/>
    <cellStyle name="Стиль 1 2 28" xfId="6126"/>
    <cellStyle name="Стиль 1 2 29" xfId="6127"/>
    <cellStyle name="Стиль 1 2 3" xfId="6128"/>
    <cellStyle name="Стиль 1 2 3 10" xfId="6129"/>
    <cellStyle name="Стиль 1 2 3 10 10" xfId="6130"/>
    <cellStyle name="Стиль 1 2 3 10 11" xfId="6131"/>
    <cellStyle name="Стиль 1 2 3 10 12" xfId="6132"/>
    <cellStyle name="Стиль 1 2 3 10 13" xfId="6133"/>
    <cellStyle name="Стиль 1 2 3 10 14" xfId="6134"/>
    <cellStyle name="Стиль 1 2 3 10 15" xfId="6135"/>
    <cellStyle name="Стиль 1 2 3 10 16" xfId="6136"/>
    <cellStyle name="Стиль 1 2 3 10 17" xfId="6137"/>
    <cellStyle name="Стиль 1 2 3 10 18" xfId="6138"/>
    <cellStyle name="Стиль 1 2 3 10 2" xfId="6139"/>
    <cellStyle name="Стиль 1 2 3 10 3" xfId="6140"/>
    <cellStyle name="Стиль 1 2 3 10 4" xfId="6141"/>
    <cellStyle name="Стиль 1 2 3 10 5" xfId="6142"/>
    <cellStyle name="Стиль 1 2 3 10 6" xfId="6143"/>
    <cellStyle name="Стиль 1 2 3 10 7" xfId="6144"/>
    <cellStyle name="Стиль 1 2 3 10 8" xfId="6145"/>
    <cellStyle name="Стиль 1 2 3 10 9" xfId="6146"/>
    <cellStyle name="Стиль 1 2 3 11" xfId="6147"/>
    <cellStyle name="Стиль 1 2 3 12" xfId="6148"/>
    <cellStyle name="Стиль 1 2 3 13" xfId="6149"/>
    <cellStyle name="Стиль 1 2 3 14" xfId="6150"/>
    <cellStyle name="Стиль 1 2 3 15" xfId="6151"/>
    <cellStyle name="Стиль 1 2 3 16" xfId="6152"/>
    <cellStyle name="Стиль 1 2 3 17" xfId="6153"/>
    <cellStyle name="Стиль 1 2 3 18" xfId="6154"/>
    <cellStyle name="Стиль 1 2 3 19" xfId="6155"/>
    <cellStyle name="Стиль 1 2 3 2" xfId="6156"/>
    <cellStyle name="Стиль 1 2 3 2 10" xfId="6157"/>
    <cellStyle name="Стиль 1 2 3 2 10 10" xfId="6158"/>
    <cellStyle name="Стиль 1 2 3 2 10 11" xfId="6159"/>
    <cellStyle name="Стиль 1 2 3 2 10 12" xfId="6160"/>
    <cellStyle name="Стиль 1 2 3 2 10 13" xfId="6161"/>
    <cellStyle name="Стиль 1 2 3 2 10 14" xfId="6162"/>
    <cellStyle name="Стиль 1 2 3 2 10 15" xfId="6163"/>
    <cellStyle name="Стиль 1 2 3 2 10 16" xfId="6164"/>
    <cellStyle name="Стиль 1 2 3 2 10 17" xfId="6165"/>
    <cellStyle name="Стиль 1 2 3 2 10 18" xfId="6166"/>
    <cellStyle name="Стиль 1 2 3 2 10 2" xfId="6167"/>
    <cellStyle name="Стиль 1 2 3 2 10 3" xfId="6168"/>
    <cellStyle name="Стиль 1 2 3 2 10 4" xfId="6169"/>
    <cellStyle name="Стиль 1 2 3 2 10 5" xfId="6170"/>
    <cellStyle name="Стиль 1 2 3 2 10 6" xfId="6171"/>
    <cellStyle name="Стиль 1 2 3 2 10 7" xfId="6172"/>
    <cellStyle name="Стиль 1 2 3 2 10 8" xfId="6173"/>
    <cellStyle name="Стиль 1 2 3 2 10 9" xfId="6174"/>
    <cellStyle name="Стиль 1 2 3 2 11" xfId="6175"/>
    <cellStyle name="Стиль 1 2 3 2 12" xfId="6176"/>
    <cellStyle name="Стиль 1 2 3 2 13" xfId="6177"/>
    <cellStyle name="Стиль 1 2 3 2 14" xfId="6178"/>
    <cellStyle name="Стиль 1 2 3 2 15" xfId="6179"/>
    <cellStyle name="Стиль 1 2 3 2 16" xfId="6180"/>
    <cellStyle name="Стиль 1 2 3 2 17" xfId="6181"/>
    <cellStyle name="Стиль 1 2 3 2 18" xfId="6182"/>
    <cellStyle name="Стиль 1 2 3 2 19" xfId="6183"/>
    <cellStyle name="Стиль 1 2 3 2 2" xfId="6184"/>
    <cellStyle name="Стиль 1 2 3 2 2 10" xfId="6185"/>
    <cellStyle name="Стиль 1 2 3 2 2 11" xfId="6186"/>
    <cellStyle name="Стиль 1 2 3 2 2 12" xfId="6187"/>
    <cellStyle name="Стиль 1 2 3 2 2 13" xfId="6188"/>
    <cellStyle name="Стиль 1 2 3 2 2 14" xfId="6189"/>
    <cellStyle name="Стиль 1 2 3 2 2 15" xfId="6190"/>
    <cellStyle name="Стиль 1 2 3 2 2 16" xfId="6191"/>
    <cellStyle name="Стиль 1 2 3 2 2 17" xfId="6192"/>
    <cellStyle name="Стиль 1 2 3 2 2 18" xfId="6193"/>
    <cellStyle name="Стиль 1 2 3 2 2 19" xfId="6194"/>
    <cellStyle name="Стиль 1 2 3 2 2 2" xfId="6195"/>
    <cellStyle name="Стиль 1 2 3 2 2 2 10" xfId="6196"/>
    <cellStyle name="Стиль 1 2 3 2 2 2 11" xfId="6197"/>
    <cellStyle name="Стиль 1 2 3 2 2 2 12" xfId="6198"/>
    <cellStyle name="Стиль 1 2 3 2 2 2 13" xfId="6199"/>
    <cellStyle name="Стиль 1 2 3 2 2 2 14" xfId="6200"/>
    <cellStyle name="Стиль 1 2 3 2 2 2 15" xfId="6201"/>
    <cellStyle name="Стиль 1 2 3 2 2 2 16" xfId="6202"/>
    <cellStyle name="Стиль 1 2 3 2 2 2 17" xfId="6203"/>
    <cellStyle name="Стиль 1 2 3 2 2 2 18" xfId="6204"/>
    <cellStyle name="Стиль 1 2 3 2 2 2 19" xfId="6205"/>
    <cellStyle name="Стиль 1 2 3 2 2 2 2" xfId="6206"/>
    <cellStyle name="Стиль 1 2 3 2 2 2 2 10" xfId="6207"/>
    <cellStyle name="Стиль 1 2 3 2 2 2 2 11" xfId="6208"/>
    <cellStyle name="Стиль 1 2 3 2 2 2 2 12" xfId="6209"/>
    <cellStyle name="Стиль 1 2 3 2 2 2 2 13" xfId="6210"/>
    <cellStyle name="Стиль 1 2 3 2 2 2 2 14" xfId="6211"/>
    <cellStyle name="Стиль 1 2 3 2 2 2 2 15" xfId="6212"/>
    <cellStyle name="Стиль 1 2 3 2 2 2 2 16" xfId="6213"/>
    <cellStyle name="Стиль 1 2 3 2 2 2 2 17" xfId="6214"/>
    <cellStyle name="Стиль 1 2 3 2 2 2 2 18" xfId="6215"/>
    <cellStyle name="Стиль 1 2 3 2 2 2 2 2" xfId="6216"/>
    <cellStyle name="Стиль 1 2 3 2 2 2 2 3" xfId="6217"/>
    <cellStyle name="Стиль 1 2 3 2 2 2 2 4" xfId="6218"/>
    <cellStyle name="Стиль 1 2 3 2 2 2 2 5" xfId="6219"/>
    <cellStyle name="Стиль 1 2 3 2 2 2 2 6" xfId="6220"/>
    <cellStyle name="Стиль 1 2 3 2 2 2 2 7" xfId="6221"/>
    <cellStyle name="Стиль 1 2 3 2 2 2 2 8" xfId="6222"/>
    <cellStyle name="Стиль 1 2 3 2 2 2 2 9" xfId="6223"/>
    <cellStyle name="Стиль 1 2 3 2 2 2 20" xfId="6224"/>
    <cellStyle name="Стиль 1 2 3 2 2 2 21" xfId="6225"/>
    <cellStyle name="Стиль 1 2 3 2 2 2 22" xfId="6226"/>
    <cellStyle name="Стиль 1 2 3 2 2 2 23" xfId="6227"/>
    <cellStyle name="Стиль 1 2 3 2 2 2 24" xfId="6228"/>
    <cellStyle name="Стиль 1 2 3 2 2 2 3" xfId="6229"/>
    <cellStyle name="Стиль 1 2 3 2 2 2 4" xfId="6230"/>
    <cellStyle name="Стиль 1 2 3 2 2 2 5" xfId="6231"/>
    <cellStyle name="Стиль 1 2 3 2 2 2 6" xfId="6232"/>
    <cellStyle name="Стиль 1 2 3 2 2 2 7" xfId="6233"/>
    <cellStyle name="Стиль 1 2 3 2 2 2 8" xfId="6234"/>
    <cellStyle name="Стиль 1 2 3 2 2 2 9" xfId="6235"/>
    <cellStyle name="Стиль 1 2 3 2 2 20" xfId="6236"/>
    <cellStyle name="Стиль 1 2 3 2 2 21" xfId="6237"/>
    <cellStyle name="Стиль 1 2 3 2 2 22" xfId="6238"/>
    <cellStyle name="Стиль 1 2 3 2 2 23" xfId="6239"/>
    <cellStyle name="Стиль 1 2 3 2 2 24" xfId="6240"/>
    <cellStyle name="Стиль 1 2 3 2 2 25" xfId="6241"/>
    <cellStyle name="Стиль 1 2 3 2 2 3" xfId="6242"/>
    <cellStyle name="Стиль 1 2 3 2 2 4" xfId="6243"/>
    <cellStyle name="Стиль 1 2 3 2 2 4 10" xfId="6244"/>
    <cellStyle name="Стиль 1 2 3 2 2 4 11" xfId="6245"/>
    <cellStyle name="Стиль 1 2 3 2 2 4 12" xfId="6246"/>
    <cellStyle name="Стиль 1 2 3 2 2 4 13" xfId="6247"/>
    <cellStyle name="Стиль 1 2 3 2 2 4 14" xfId="6248"/>
    <cellStyle name="Стиль 1 2 3 2 2 4 15" xfId="6249"/>
    <cellStyle name="Стиль 1 2 3 2 2 4 16" xfId="6250"/>
    <cellStyle name="Стиль 1 2 3 2 2 4 17" xfId="6251"/>
    <cellStyle name="Стиль 1 2 3 2 2 4 18" xfId="6252"/>
    <cellStyle name="Стиль 1 2 3 2 2 4 2" xfId="6253"/>
    <cellStyle name="Стиль 1 2 3 2 2 4 3" xfId="6254"/>
    <cellStyle name="Стиль 1 2 3 2 2 4 4" xfId="6255"/>
    <cellStyle name="Стиль 1 2 3 2 2 4 5" xfId="6256"/>
    <cellStyle name="Стиль 1 2 3 2 2 4 6" xfId="6257"/>
    <cellStyle name="Стиль 1 2 3 2 2 4 7" xfId="6258"/>
    <cellStyle name="Стиль 1 2 3 2 2 4 8" xfId="6259"/>
    <cellStyle name="Стиль 1 2 3 2 2 4 9" xfId="6260"/>
    <cellStyle name="Стиль 1 2 3 2 2 5" xfId="6261"/>
    <cellStyle name="Стиль 1 2 3 2 2 6" xfId="6262"/>
    <cellStyle name="Стиль 1 2 3 2 2 7" xfId="6263"/>
    <cellStyle name="Стиль 1 2 3 2 2 8" xfId="6264"/>
    <cellStyle name="Стиль 1 2 3 2 2 9" xfId="6265"/>
    <cellStyle name="Стиль 1 2 3 2 20" xfId="6266"/>
    <cellStyle name="Стиль 1 2 3 2 21" xfId="6267"/>
    <cellStyle name="Стиль 1 2 3 2 22" xfId="6268"/>
    <cellStyle name="Стиль 1 2 3 2 23" xfId="6269"/>
    <cellStyle name="Стиль 1 2 3 2 24" xfId="6270"/>
    <cellStyle name="Стиль 1 2 3 2 25" xfId="6271"/>
    <cellStyle name="Стиль 1 2 3 2 26" xfId="6272"/>
    <cellStyle name="Стиль 1 2 3 2 27" xfId="6273"/>
    <cellStyle name="Стиль 1 2 3 2 28" xfId="6274"/>
    <cellStyle name="Стиль 1 2 3 2 29" xfId="6275"/>
    <cellStyle name="Стиль 1 2 3 2 3" xfId="6276"/>
    <cellStyle name="Стиль 1 2 3 2 30" xfId="6277"/>
    <cellStyle name="Стиль 1 2 3 2 31" xfId="6278"/>
    <cellStyle name="Стиль 1 2 3 2 4" xfId="6279"/>
    <cellStyle name="Стиль 1 2 3 2 5" xfId="6280"/>
    <cellStyle name="Стиль 1 2 3 2 6" xfId="6281"/>
    <cellStyle name="Стиль 1 2 3 2 7" xfId="6282"/>
    <cellStyle name="Стиль 1 2 3 2 8" xfId="6283"/>
    <cellStyle name="Стиль 1 2 3 2 9" xfId="6284"/>
    <cellStyle name="Стиль 1 2 3 2 9 10" xfId="6285"/>
    <cellStyle name="Стиль 1 2 3 2 9 11" xfId="6286"/>
    <cellStyle name="Стиль 1 2 3 2 9 12" xfId="6287"/>
    <cellStyle name="Стиль 1 2 3 2 9 13" xfId="6288"/>
    <cellStyle name="Стиль 1 2 3 2 9 14" xfId="6289"/>
    <cellStyle name="Стиль 1 2 3 2 9 15" xfId="6290"/>
    <cellStyle name="Стиль 1 2 3 2 9 16" xfId="6291"/>
    <cellStyle name="Стиль 1 2 3 2 9 17" xfId="6292"/>
    <cellStyle name="Стиль 1 2 3 2 9 18" xfId="6293"/>
    <cellStyle name="Стиль 1 2 3 2 9 19" xfId="6294"/>
    <cellStyle name="Стиль 1 2 3 2 9 2" xfId="6295"/>
    <cellStyle name="Стиль 1 2 3 2 9 2 10" xfId="6296"/>
    <cellStyle name="Стиль 1 2 3 2 9 2 11" xfId="6297"/>
    <cellStyle name="Стиль 1 2 3 2 9 2 12" xfId="6298"/>
    <cellStyle name="Стиль 1 2 3 2 9 2 13" xfId="6299"/>
    <cellStyle name="Стиль 1 2 3 2 9 2 14" xfId="6300"/>
    <cellStyle name="Стиль 1 2 3 2 9 2 15" xfId="6301"/>
    <cellStyle name="Стиль 1 2 3 2 9 2 16" xfId="6302"/>
    <cellStyle name="Стиль 1 2 3 2 9 2 17" xfId="6303"/>
    <cellStyle name="Стиль 1 2 3 2 9 2 18" xfId="6304"/>
    <cellStyle name="Стиль 1 2 3 2 9 2 2" xfId="6305"/>
    <cellStyle name="Стиль 1 2 3 2 9 2 3" xfId="6306"/>
    <cellStyle name="Стиль 1 2 3 2 9 2 4" xfId="6307"/>
    <cellStyle name="Стиль 1 2 3 2 9 2 5" xfId="6308"/>
    <cellStyle name="Стиль 1 2 3 2 9 2 6" xfId="6309"/>
    <cellStyle name="Стиль 1 2 3 2 9 2 7" xfId="6310"/>
    <cellStyle name="Стиль 1 2 3 2 9 2 8" xfId="6311"/>
    <cellStyle name="Стиль 1 2 3 2 9 2 9" xfId="6312"/>
    <cellStyle name="Стиль 1 2 3 2 9 20" xfId="6313"/>
    <cellStyle name="Стиль 1 2 3 2 9 21" xfId="6314"/>
    <cellStyle name="Стиль 1 2 3 2 9 22" xfId="6315"/>
    <cellStyle name="Стиль 1 2 3 2 9 23" xfId="6316"/>
    <cellStyle name="Стиль 1 2 3 2 9 24" xfId="6317"/>
    <cellStyle name="Стиль 1 2 3 2 9 3" xfId="6318"/>
    <cellStyle name="Стиль 1 2 3 2 9 4" xfId="6319"/>
    <cellStyle name="Стиль 1 2 3 2 9 5" xfId="6320"/>
    <cellStyle name="Стиль 1 2 3 2 9 6" xfId="6321"/>
    <cellStyle name="Стиль 1 2 3 2 9 7" xfId="6322"/>
    <cellStyle name="Стиль 1 2 3 2 9 8" xfId="6323"/>
    <cellStyle name="Стиль 1 2 3 2 9 9" xfId="6324"/>
    <cellStyle name="Стиль 1 2 3 20" xfId="6325"/>
    <cellStyle name="Стиль 1 2 3 21" xfId="6326"/>
    <cellStyle name="Стиль 1 2 3 22" xfId="6327"/>
    <cellStyle name="Стиль 1 2 3 23" xfId="6328"/>
    <cellStyle name="Стиль 1 2 3 24" xfId="6329"/>
    <cellStyle name="Стиль 1 2 3 25" xfId="6330"/>
    <cellStyle name="Стиль 1 2 3 26" xfId="6331"/>
    <cellStyle name="Стиль 1 2 3 27" xfId="6332"/>
    <cellStyle name="Стиль 1 2 3 28" xfId="6333"/>
    <cellStyle name="Стиль 1 2 3 29" xfId="6334"/>
    <cellStyle name="Стиль 1 2 3 3" xfId="6335"/>
    <cellStyle name="Стиль 1 2 3 3 10" xfId="6336"/>
    <cellStyle name="Стиль 1 2 3 3 11" xfId="6337"/>
    <cellStyle name="Стиль 1 2 3 3 12" xfId="6338"/>
    <cellStyle name="Стиль 1 2 3 3 13" xfId="6339"/>
    <cellStyle name="Стиль 1 2 3 3 14" xfId="6340"/>
    <cellStyle name="Стиль 1 2 3 3 15" xfId="6341"/>
    <cellStyle name="Стиль 1 2 3 3 16" xfId="6342"/>
    <cellStyle name="Стиль 1 2 3 3 17" xfId="6343"/>
    <cellStyle name="Стиль 1 2 3 3 18" xfId="6344"/>
    <cellStyle name="Стиль 1 2 3 3 19" xfId="6345"/>
    <cellStyle name="Стиль 1 2 3 3 2" xfId="6346"/>
    <cellStyle name="Стиль 1 2 3 3 2 10" xfId="6347"/>
    <cellStyle name="Стиль 1 2 3 3 2 11" xfId="6348"/>
    <cellStyle name="Стиль 1 2 3 3 2 12" xfId="6349"/>
    <cellStyle name="Стиль 1 2 3 3 2 13" xfId="6350"/>
    <cellStyle name="Стиль 1 2 3 3 2 14" xfId="6351"/>
    <cellStyle name="Стиль 1 2 3 3 2 15" xfId="6352"/>
    <cellStyle name="Стиль 1 2 3 3 2 16" xfId="6353"/>
    <cellStyle name="Стиль 1 2 3 3 2 17" xfId="6354"/>
    <cellStyle name="Стиль 1 2 3 3 2 18" xfId="6355"/>
    <cellStyle name="Стиль 1 2 3 3 2 19" xfId="6356"/>
    <cellStyle name="Стиль 1 2 3 3 2 2" xfId="6357"/>
    <cellStyle name="Стиль 1 2 3 3 2 2 10" xfId="6358"/>
    <cellStyle name="Стиль 1 2 3 3 2 2 11" xfId="6359"/>
    <cellStyle name="Стиль 1 2 3 3 2 2 12" xfId="6360"/>
    <cellStyle name="Стиль 1 2 3 3 2 2 13" xfId="6361"/>
    <cellStyle name="Стиль 1 2 3 3 2 2 14" xfId="6362"/>
    <cellStyle name="Стиль 1 2 3 3 2 2 15" xfId="6363"/>
    <cellStyle name="Стиль 1 2 3 3 2 2 16" xfId="6364"/>
    <cellStyle name="Стиль 1 2 3 3 2 2 17" xfId="6365"/>
    <cellStyle name="Стиль 1 2 3 3 2 2 18" xfId="6366"/>
    <cellStyle name="Стиль 1 2 3 3 2 2 2" xfId="6367"/>
    <cellStyle name="Стиль 1 2 3 3 2 2 3" xfId="6368"/>
    <cellStyle name="Стиль 1 2 3 3 2 2 4" xfId="6369"/>
    <cellStyle name="Стиль 1 2 3 3 2 2 5" xfId="6370"/>
    <cellStyle name="Стиль 1 2 3 3 2 2 6" xfId="6371"/>
    <cellStyle name="Стиль 1 2 3 3 2 2 7" xfId="6372"/>
    <cellStyle name="Стиль 1 2 3 3 2 2 8" xfId="6373"/>
    <cellStyle name="Стиль 1 2 3 3 2 2 9" xfId="6374"/>
    <cellStyle name="Стиль 1 2 3 3 2 20" xfId="6375"/>
    <cellStyle name="Стиль 1 2 3 3 2 21" xfId="6376"/>
    <cellStyle name="Стиль 1 2 3 3 2 22" xfId="6377"/>
    <cellStyle name="Стиль 1 2 3 3 2 23" xfId="6378"/>
    <cellStyle name="Стиль 1 2 3 3 2 24" xfId="6379"/>
    <cellStyle name="Стиль 1 2 3 3 2 3" xfId="6380"/>
    <cellStyle name="Стиль 1 2 3 3 2 4" xfId="6381"/>
    <cellStyle name="Стиль 1 2 3 3 2 5" xfId="6382"/>
    <cellStyle name="Стиль 1 2 3 3 2 6" xfId="6383"/>
    <cellStyle name="Стиль 1 2 3 3 2 7" xfId="6384"/>
    <cellStyle name="Стиль 1 2 3 3 2 8" xfId="6385"/>
    <cellStyle name="Стиль 1 2 3 3 2 9" xfId="6386"/>
    <cellStyle name="Стиль 1 2 3 3 20" xfId="6387"/>
    <cellStyle name="Стиль 1 2 3 3 21" xfId="6388"/>
    <cellStyle name="Стиль 1 2 3 3 22" xfId="6389"/>
    <cellStyle name="Стиль 1 2 3 3 23" xfId="6390"/>
    <cellStyle name="Стиль 1 2 3 3 24" xfId="6391"/>
    <cellStyle name="Стиль 1 2 3 3 25" xfId="6392"/>
    <cellStyle name="Стиль 1 2 3 3 3" xfId="6393"/>
    <cellStyle name="Стиль 1 2 3 3 4" xfId="6394"/>
    <cellStyle name="Стиль 1 2 3 3 4 10" xfId="6395"/>
    <cellStyle name="Стиль 1 2 3 3 4 11" xfId="6396"/>
    <cellStyle name="Стиль 1 2 3 3 4 12" xfId="6397"/>
    <cellStyle name="Стиль 1 2 3 3 4 13" xfId="6398"/>
    <cellStyle name="Стиль 1 2 3 3 4 14" xfId="6399"/>
    <cellStyle name="Стиль 1 2 3 3 4 15" xfId="6400"/>
    <cellStyle name="Стиль 1 2 3 3 4 16" xfId="6401"/>
    <cellStyle name="Стиль 1 2 3 3 4 17" xfId="6402"/>
    <cellStyle name="Стиль 1 2 3 3 4 18" xfId="6403"/>
    <cellStyle name="Стиль 1 2 3 3 4 2" xfId="6404"/>
    <cellStyle name="Стиль 1 2 3 3 4 3" xfId="6405"/>
    <cellStyle name="Стиль 1 2 3 3 4 4" xfId="6406"/>
    <cellStyle name="Стиль 1 2 3 3 4 5" xfId="6407"/>
    <cellStyle name="Стиль 1 2 3 3 4 6" xfId="6408"/>
    <cellStyle name="Стиль 1 2 3 3 4 7" xfId="6409"/>
    <cellStyle name="Стиль 1 2 3 3 4 8" xfId="6410"/>
    <cellStyle name="Стиль 1 2 3 3 4 9" xfId="6411"/>
    <cellStyle name="Стиль 1 2 3 3 5" xfId="6412"/>
    <cellStyle name="Стиль 1 2 3 3 6" xfId="6413"/>
    <cellStyle name="Стиль 1 2 3 3 7" xfId="6414"/>
    <cellStyle name="Стиль 1 2 3 3 8" xfId="6415"/>
    <cellStyle name="Стиль 1 2 3 3 9" xfId="6416"/>
    <cellStyle name="Стиль 1 2 3 30" xfId="6417"/>
    <cellStyle name="Стиль 1 2 3 31" xfId="6418"/>
    <cellStyle name="Стиль 1 2 3 4" xfId="6419"/>
    <cellStyle name="Стиль 1 2 3 5" xfId="6420"/>
    <cellStyle name="Стиль 1 2 3 6" xfId="6421"/>
    <cellStyle name="Стиль 1 2 3 7" xfId="6422"/>
    <cellStyle name="Стиль 1 2 3 8" xfId="6423"/>
    <cellStyle name="Стиль 1 2 3 9" xfId="6424"/>
    <cellStyle name="Стиль 1 2 3 9 10" xfId="6425"/>
    <cellStyle name="Стиль 1 2 3 9 11" xfId="6426"/>
    <cellStyle name="Стиль 1 2 3 9 12" xfId="6427"/>
    <cellStyle name="Стиль 1 2 3 9 13" xfId="6428"/>
    <cellStyle name="Стиль 1 2 3 9 14" xfId="6429"/>
    <cellStyle name="Стиль 1 2 3 9 15" xfId="6430"/>
    <cellStyle name="Стиль 1 2 3 9 16" xfId="6431"/>
    <cellStyle name="Стиль 1 2 3 9 17" xfId="6432"/>
    <cellStyle name="Стиль 1 2 3 9 18" xfId="6433"/>
    <cellStyle name="Стиль 1 2 3 9 19" xfId="6434"/>
    <cellStyle name="Стиль 1 2 3 9 2" xfId="6435"/>
    <cellStyle name="Стиль 1 2 3 9 2 10" xfId="6436"/>
    <cellStyle name="Стиль 1 2 3 9 2 11" xfId="6437"/>
    <cellStyle name="Стиль 1 2 3 9 2 12" xfId="6438"/>
    <cellStyle name="Стиль 1 2 3 9 2 13" xfId="6439"/>
    <cellStyle name="Стиль 1 2 3 9 2 14" xfId="6440"/>
    <cellStyle name="Стиль 1 2 3 9 2 15" xfId="6441"/>
    <cellStyle name="Стиль 1 2 3 9 2 16" xfId="6442"/>
    <cellStyle name="Стиль 1 2 3 9 2 17" xfId="6443"/>
    <cellStyle name="Стиль 1 2 3 9 2 18" xfId="6444"/>
    <cellStyle name="Стиль 1 2 3 9 2 2" xfId="6445"/>
    <cellStyle name="Стиль 1 2 3 9 2 3" xfId="6446"/>
    <cellStyle name="Стиль 1 2 3 9 2 4" xfId="6447"/>
    <cellStyle name="Стиль 1 2 3 9 2 5" xfId="6448"/>
    <cellStyle name="Стиль 1 2 3 9 2 6" xfId="6449"/>
    <cellStyle name="Стиль 1 2 3 9 2 7" xfId="6450"/>
    <cellStyle name="Стиль 1 2 3 9 2 8" xfId="6451"/>
    <cellStyle name="Стиль 1 2 3 9 2 9" xfId="6452"/>
    <cellStyle name="Стиль 1 2 3 9 20" xfId="6453"/>
    <cellStyle name="Стиль 1 2 3 9 21" xfId="6454"/>
    <cellStyle name="Стиль 1 2 3 9 22" xfId="6455"/>
    <cellStyle name="Стиль 1 2 3 9 23" xfId="6456"/>
    <cellStyle name="Стиль 1 2 3 9 24" xfId="6457"/>
    <cellStyle name="Стиль 1 2 3 9 3" xfId="6458"/>
    <cellStyle name="Стиль 1 2 3 9 4" xfId="6459"/>
    <cellStyle name="Стиль 1 2 3 9 5" xfId="6460"/>
    <cellStyle name="Стиль 1 2 3 9 6" xfId="6461"/>
    <cellStyle name="Стиль 1 2 3 9 7" xfId="6462"/>
    <cellStyle name="Стиль 1 2 3 9 8" xfId="6463"/>
    <cellStyle name="Стиль 1 2 3 9 9" xfId="6464"/>
    <cellStyle name="Стиль 1 2 30" xfId="6465"/>
    <cellStyle name="Стиль 1 2 31" xfId="6466"/>
    <cellStyle name="Стиль 1 2 32" xfId="6467"/>
    <cellStyle name="Стиль 1 2 33" xfId="6468"/>
    <cellStyle name="Стиль 1 2 34" xfId="6469"/>
    <cellStyle name="Стиль 1 2 35" xfId="6470"/>
    <cellStyle name="Стиль 1 2 36" xfId="6471"/>
    <cellStyle name="Стиль 1 2 37" xfId="6472"/>
    <cellStyle name="Стиль 1 2 38" xfId="6473"/>
    <cellStyle name="Стиль 1 2 39" xfId="6474"/>
    <cellStyle name="Стиль 1 2 4" xfId="6475"/>
    <cellStyle name="Стиль 1 2 40" xfId="6476"/>
    <cellStyle name="Стиль 1 2 41" xfId="6477"/>
    <cellStyle name="Стиль 1 2 42" xfId="6478"/>
    <cellStyle name="Стиль 1 2 43" xfId="6479"/>
    <cellStyle name="Стиль 1 2 44" xfId="6480"/>
    <cellStyle name="Стиль 1 2 44 10" xfId="6481"/>
    <cellStyle name="Стиль 1 2 44 11" xfId="6482"/>
    <cellStyle name="Стиль 1 2 44 12" xfId="6483"/>
    <cellStyle name="Стиль 1 2 44 13" xfId="6484"/>
    <cellStyle name="Стиль 1 2 44 14" xfId="6485"/>
    <cellStyle name="Стиль 1 2 44 15" xfId="6486"/>
    <cellStyle name="Стиль 1 2 44 16" xfId="6487"/>
    <cellStyle name="Стиль 1 2 44 17" xfId="6488"/>
    <cellStyle name="Стиль 1 2 44 18" xfId="6489"/>
    <cellStyle name="Стиль 1 2 44 19" xfId="6490"/>
    <cellStyle name="Стиль 1 2 44 2" xfId="6491"/>
    <cellStyle name="Стиль 1 2 44 2 10" xfId="6492"/>
    <cellStyle name="Стиль 1 2 44 2 11" xfId="6493"/>
    <cellStyle name="Стиль 1 2 44 2 12" xfId="6494"/>
    <cellStyle name="Стиль 1 2 44 2 13" xfId="6495"/>
    <cellStyle name="Стиль 1 2 44 2 14" xfId="6496"/>
    <cellStyle name="Стиль 1 2 44 2 15" xfId="6497"/>
    <cellStyle name="Стиль 1 2 44 2 16" xfId="6498"/>
    <cellStyle name="Стиль 1 2 44 2 17" xfId="6499"/>
    <cellStyle name="Стиль 1 2 44 2 18" xfId="6500"/>
    <cellStyle name="Стиль 1 2 44 2 19" xfId="6501"/>
    <cellStyle name="Стиль 1 2 44 2 2" xfId="6502"/>
    <cellStyle name="Стиль 1 2 44 2 2 10" xfId="6503"/>
    <cellStyle name="Стиль 1 2 44 2 2 11" xfId="6504"/>
    <cellStyle name="Стиль 1 2 44 2 2 12" xfId="6505"/>
    <cellStyle name="Стиль 1 2 44 2 2 13" xfId="6506"/>
    <cellStyle name="Стиль 1 2 44 2 2 14" xfId="6507"/>
    <cellStyle name="Стиль 1 2 44 2 2 15" xfId="6508"/>
    <cellStyle name="Стиль 1 2 44 2 2 16" xfId="6509"/>
    <cellStyle name="Стиль 1 2 44 2 2 17" xfId="6510"/>
    <cellStyle name="Стиль 1 2 44 2 2 18" xfId="6511"/>
    <cellStyle name="Стиль 1 2 44 2 2 2" xfId="6512"/>
    <cellStyle name="Стиль 1 2 44 2 2 3" xfId="6513"/>
    <cellStyle name="Стиль 1 2 44 2 2 4" xfId="6514"/>
    <cellStyle name="Стиль 1 2 44 2 2 5" xfId="6515"/>
    <cellStyle name="Стиль 1 2 44 2 2 6" xfId="6516"/>
    <cellStyle name="Стиль 1 2 44 2 2 7" xfId="6517"/>
    <cellStyle name="Стиль 1 2 44 2 2 8" xfId="6518"/>
    <cellStyle name="Стиль 1 2 44 2 2 9" xfId="6519"/>
    <cellStyle name="Стиль 1 2 44 2 20" xfId="6520"/>
    <cellStyle name="Стиль 1 2 44 2 21" xfId="6521"/>
    <cellStyle name="Стиль 1 2 44 2 22" xfId="6522"/>
    <cellStyle name="Стиль 1 2 44 2 23" xfId="6523"/>
    <cellStyle name="Стиль 1 2 44 2 24" xfId="6524"/>
    <cellStyle name="Стиль 1 2 44 2 3" xfId="6525"/>
    <cellStyle name="Стиль 1 2 44 2 4" xfId="6526"/>
    <cellStyle name="Стиль 1 2 44 2 5" xfId="6527"/>
    <cellStyle name="Стиль 1 2 44 2 6" xfId="6528"/>
    <cellStyle name="Стиль 1 2 44 2 7" xfId="6529"/>
    <cellStyle name="Стиль 1 2 44 2 8" xfId="6530"/>
    <cellStyle name="Стиль 1 2 44 2 9" xfId="6531"/>
    <cellStyle name="Стиль 1 2 44 20" xfId="6532"/>
    <cellStyle name="Стиль 1 2 44 21" xfId="6533"/>
    <cellStyle name="Стиль 1 2 44 22" xfId="6534"/>
    <cellStyle name="Стиль 1 2 44 23" xfId="6535"/>
    <cellStyle name="Стиль 1 2 44 24" xfId="6536"/>
    <cellStyle name="Стиль 1 2 44 25" xfId="6537"/>
    <cellStyle name="Стиль 1 2 44 3" xfId="6538"/>
    <cellStyle name="Стиль 1 2 44 4" xfId="6539"/>
    <cellStyle name="Стиль 1 2 44 4 10" xfId="6540"/>
    <cellStyle name="Стиль 1 2 44 4 11" xfId="6541"/>
    <cellStyle name="Стиль 1 2 44 4 12" xfId="6542"/>
    <cellStyle name="Стиль 1 2 44 4 13" xfId="6543"/>
    <cellStyle name="Стиль 1 2 44 4 14" xfId="6544"/>
    <cellStyle name="Стиль 1 2 44 4 15" xfId="6545"/>
    <cellStyle name="Стиль 1 2 44 4 16" xfId="6546"/>
    <cellStyle name="Стиль 1 2 44 4 17" xfId="6547"/>
    <cellStyle name="Стиль 1 2 44 4 18" xfId="6548"/>
    <cellStyle name="Стиль 1 2 44 4 2" xfId="6549"/>
    <cellStyle name="Стиль 1 2 44 4 3" xfId="6550"/>
    <cellStyle name="Стиль 1 2 44 4 4" xfId="6551"/>
    <cellStyle name="Стиль 1 2 44 4 5" xfId="6552"/>
    <cellStyle name="Стиль 1 2 44 4 6" xfId="6553"/>
    <cellStyle name="Стиль 1 2 44 4 7" xfId="6554"/>
    <cellStyle name="Стиль 1 2 44 4 8" xfId="6555"/>
    <cellStyle name="Стиль 1 2 44 4 9" xfId="6556"/>
    <cellStyle name="Стиль 1 2 44 5" xfId="6557"/>
    <cellStyle name="Стиль 1 2 44 6" xfId="6558"/>
    <cellStyle name="Стиль 1 2 44 7" xfId="6559"/>
    <cellStyle name="Стиль 1 2 44 8" xfId="6560"/>
    <cellStyle name="Стиль 1 2 44 9" xfId="6561"/>
    <cellStyle name="Стиль 1 2 45" xfId="6562"/>
    <cellStyle name="Стиль 1 2 46" xfId="6563"/>
    <cellStyle name="Стиль 1 2 47" xfId="6564"/>
    <cellStyle name="Стиль 1 2 48" xfId="6565"/>
    <cellStyle name="Стиль 1 2 49" xfId="6566"/>
    <cellStyle name="Стиль 1 2 5" xfId="6567"/>
    <cellStyle name="Стиль 1 2 50" xfId="6568"/>
    <cellStyle name="Стиль 1 2 51" xfId="6569"/>
    <cellStyle name="Стиль 1 2 51 10" xfId="6570"/>
    <cellStyle name="Стиль 1 2 51 11" xfId="6571"/>
    <cellStyle name="Стиль 1 2 51 12" xfId="6572"/>
    <cellStyle name="Стиль 1 2 51 13" xfId="6573"/>
    <cellStyle name="Стиль 1 2 51 14" xfId="6574"/>
    <cellStyle name="Стиль 1 2 51 15" xfId="6575"/>
    <cellStyle name="Стиль 1 2 51 16" xfId="6576"/>
    <cellStyle name="Стиль 1 2 51 17" xfId="6577"/>
    <cellStyle name="Стиль 1 2 51 18" xfId="6578"/>
    <cellStyle name="Стиль 1 2 51 19" xfId="6579"/>
    <cellStyle name="Стиль 1 2 51 2" xfId="6580"/>
    <cellStyle name="Стиль 1 2 51 2 10" xfId="6581"/>
    <cellStyle name="Стиль 1 2 51 2 11" xfId="6582"/>
    <cellStyle name="Стиль 1 2 51 2 12" xfId="6583"/>
    <cellStyle name="Стиль 1 2 51 2 13" xfId="6584"/>
    <cellStyle name="Стиль 1 2 51 2 14" xfId="6585"/>
    <cellStyle name="Стиль 1 2 51 2 15" xfId="6586"/>
    <cellStyle name="Стиль 1 2 51 2 16" xfId="6587"/>
    <cellStyle name="Стиль 1 2 51 2 17" xfId="6588"/>
    <cellStyle name="Стиль 1 2 51 2 18" xfId="6589"/>
    <cellStyle name="Стиль 1 2 51 2 2" xfId="6590"/>
    <cellStyle name="Стиль 1 2 51 2 3" xfId="6591"/>
    <cellStyle name="Стиль 1 2 51 2 4" xfId="6592"/>
    <cellStyle name="Стиль 1 2 51 2 5" xfId="6593"/>
    <cellStyle name="Стиль 1 2 51 2 6" xfId="6594"/>
    <cellStyle name="Стиль 1 2 51 2 7" xfId="6595"/>
    <cellStyle name="Стиль 1 2 51 2 8" xfId="6596"/>
    <cellStyle name="Стиль 1 2 51 2 9" xfId="6597"/>
    <cellStyle name="Стиль 1 2 51 20" xfId="6598"/>
    <cellStyle name="Стиль 1 2 51 21" xfId="6599"/>
    <cellStyle name="Стиль 1 2 51 22" xfId="6600"/>
    <cellStyle name="Стиль 1 2 51 23" xfId="6601"/>
    <cellStyle name="Стиль 1 2 51 24" xfId="6602"/>
    <cellStyle name="Стиль 1 2 51 3" xfId="6603"/>
    <cellStyle name="Стиль 1 2 51 4" xfId="6604"/>
    <cellStyle name="Стиль 1 2 51 5" xfId="6605"/>
    <cellStyle name="Стиль 1 2 51 6" xfId="6606"/>
    <cellStyle name="Стиль 1 2 51 7" xfId="6607"/>
    <cellStyle name="Стиль 1 2 51 8" xfId="6608"/>
    <cellStyle name="Стиль 1 2 51 9" xfId="6609"/>
    <cellStyle name="Стиль 1 2 52" xfId="6610"/>
    <cellStyle name="Стиль 1 2 52 10" xfId="6611"/>
    <cellStyle name="Стиль 1 2 52 11" xfId="6612"/>
    <cellStyle name="Стиль 1 2 52 12" xfId="6613"/>
    <cellStyle name="Стиль 1 2 52 13" xfId="6614"/>
    <cellStyle name="Стиль 1 2 52 14" xfId="6615"/>
    <cellStyle name="Стиль 1 2 52 15" xfId="6616"/>
    <cellStyle name="Стиль 1 2 52 16" xfId="6617"/>
    <cellStyle name="Стиль 1 2 52 17" xfId="6618"/>
    <cellStyle name="Стиль 1 2 52 18" xfId="6619"/>
    <cellStyle name="Стиль 1 2 52 2" xfId="6620"/>
    <cellStyle name="Стиль 1 2 52 3" xfId="6621"/>
    <cellStyle name="Стиль 1 2 52 4" xfId="6622"/>
    <cellStyle name="Стиль 1 2 52 5" xfId="6623"/>
    <cellStyle name="Стиль 1 2 52 6" xfId="6624"/>
    <cellStyle name="Стиль 1 2 52 7" xfId="6625"/>
    <cellStyle name="Стиль 1 2 52 8" xfId="6626"/>
    <cellStyle name="Стиль 1 2 52 9" xfId="6627"/>
    <cellStyle name="Стиль 1 2 53" xfId="6628"/>
    <cellStyle name="Стиль 1 2 54" xfId="6629"/>
    <cellStyle name="Стиль 1 2 55" xfId="6630"/>
    <cellStyle name="Стиль 1 2 56" xfId="6631"/>
    <cellStyle name="Стиль 1 2 57" xfId="6632"/>
    <cellStyle name="Стиль 1 2 58" xfId="6633"/>
    <cellStyle name="Стиль 1 2 59" xfId="6634"/>
    <cellStyle name="Стиль 1 2 6" xfId="6635"/>
    <cellStyle name="Стиль 1 2 60" xfId="6636"/>
    <cellStyle name="Стиль 1 2 61" xfId="6637"/>
    <cellStyle name="Стиль 1 2 62" xfId="6638"/>
    <cellStyle name="Стиль 1 2 63" xfId="6639"/>
    <cellStyle name="Стиль 1 2 64" xfId="6640"/>
    <cellStyle name="Стиль 1 2 65" xfId="6641"/>
    <cellStyle name="Стиль 1 2 66" xfId="6642"/>
    <cellStyle name="Стиль 1 2 67" xfId="6643"/>
    <cellStyle name="Стиль 1 2 68" xfId="6644"/>
    <cellStyle name="Стиль 1 2 69" xfId="6645"/>
    <cellStyle name="Стиль 1 2 7" xfId="6646"/>
    <cellStyle name="Стиль 1 2 70" xfId="6647"/>
    <cellStyle name="Стиль 1 2 71" xfId="6648"/>
    <cellStyle name="Стиль 1 2 72" xfId="6649"/>
    <cellStyle name="Стиль 1 2 73" xfId="6650"/>
    <cellStyle name="Стиль 1 2 8" xfId="6651"/>
    <cellStyle name="Стиль 1 2 9" xfId="6652"/>
    <cellStyle name="Стиль 1 20" xfId="6653"/>
    <cellStyle name="Стиль 1 21" xfId="6654"/>
    <cellStyle name="Стиль 1 22" xfId="6655"/>
    <cellStyle name="Стиль 1 23" xfId="6656"/>
    <cellStyle name="Стиль 1 24" xfId="6657"/>
    <cellStyle name="Стиль 1 25" xfId="6658"/>
    <cellStyle name="Стиль 1 26" xfId="6659"/>
    <cellStyle name="Стиль 1 27" xfId="6660"/>
    <cellStyle name="Стиль 1 28" xfId="6661"/>
    <cellStyle name="Стиль 1 29" xfId="6662"/>
    <cellStyle name="Стиль 1 3" xfId="6663"/>
    <cellStyle name="Стиль 1 30" xfId="6664"/>
    <cellStyle name="Стиль 1 31" xfId="6665"/>
    <cellStyle name="Стиль 1 32" xfId="6666"/>
    <cellStyle name="Стиль 1 33" xfId="6667"/>
    <cellStyle name="Стиль 1 34" xfId="6668"/>
    <cellStyle name="Стиль 1 35" xfId="6669"/>
    <cellStyle name="Стиль 1 36" xfId="6670"/>
    <cellStyle name="Стиль 1 37" xfId="6671"/>
    <cellStyle name="Стиль 1 38" xfId="6672"/>
    <cellStyle name="Стиль 1 39" xfId="6673"/>
    <cellStyle name="Стиль 1 4" xfId="6674"/>
    <cellStyle name="Стиль 1 40" xfId="6675"/>
    <cellStyle name="Стиль 1 41" xfId="6676"/>
    <cellStyle name="Стиль 1 42" xfId="6677"/>
    <cellStyle name="Стиль 1 43" xfId="6678"/>
    <cellStyle name="Стиль 1 44" xfId="6679"/>
    <cellStyle name="Стиль 1 45" xfId="6680"/>
    <cellStyle name="Стиль 1 46" xfId="6681"/>
    <cellStyle name="Стиль 1 47" xfId="6682"/>
    <cellStyle name="Стиль 1 48" xfId="6683"/>
    <cellStyle name="Стиль 1 49" xfId="6684"/>
    <cellStyle name="Стиль 1 5" xfId="6685"/>
    <cellStyle name="Стиль 1 50" xfId="6686"/>
    <cellStyle name="Стиль 1 51" xfId="6687"/>
    <cellStyle name="Стиль 1 52" xfId="6688"/>
    <cellStyle name="Стиль 1 53" xfId="6689"/>
    <cellStyle name="Стиль 1 54" xfId="6690"/>
    <cellStyle name="Стиль 1 55" xfId="6691"/>
    <cellStyle name="Стиль 1 56" xfId="6692"/>
    <cellStyle name="Стиль 1 57" xfId="6693"/>
    <cellStyle name="Стиль 1 58" xfId="6694"/>
    <cellStyle name="Стиль 1 58 10" xfId="6695"/>
    <cellStyle name="Стиль 1 58 11" xfId="6696"/>
    <cellStyle name="Стиль 1 58 12" xfId="6697"/>
    <cellStyle name="Стиль 1 58 13" xfId="6698"/>
    <cellStyle name="Стиль 1 58 14" xfId="6699"/>
    <cellStyle name="Стиль 1 58 15" xfId="6700"/>
    <cellStyle name="Стиль 1 58 16" xfId="6701"/>
    <cellStyle name="Стиль 1 58 17" xfId="6702"/>
    <cellStyle name="Стиль 1 58 18" xfId="6703"/>
    <cellStyle name="Стиль 1 58 19" xfId="6704"/>
    <cellStyle name="Стиль 1 58 2" xfId="6705"/>
    <cellStyle name="Стиль 1 58 2 10" xfId="6706"/>
    <cellStyle name="Стиль 1 58 2 11" xfId="6707"/>
    <cellStyle name="Стиль 1 58 2 12" xfId="6708"/>
    <cellStyle name="Стиль 1 58 2 13" xfId="6709"/>
    <cellStyle name="Стиль 1 58 2 14" xfId="6710"/>
    <cellStyle name="Стиль 1 58 2 15" xfId="6711"/>
    <cellStyle name="Стиль 1 58 2 16" xfId="6712"/>
    <cellStyle name="Стиль 1 58 2 17" xfId="6713"/>
    <cellStyle name="Стиль 1 58 2 18" xfId="6714"/>
    <cellStyle name="Стиль 1 58 2 19" xfId="6715"/>
    <cellStyle name="Стиль 1 58 2 2" xfId="6716"/>
    <cellStyle name="Стиль 1 58 2 2 10" xfId="6717"/>
    <cellStyle name="Стиль 1 58 2 2 11" xfId="6718"/>
    <cellStyle name="Стиль 1 58 2 2 12" xfId="6719"/>
    <cellStyle name="Стиль 1 58 2 2 13" xfId="6720"/>
    <cellStyle name="Стиль 1 58 2 2 14" xfId="6721"/>
    <cellStyle name="Стиль 1 58 2 2 15" xfId="6722"/>
    <cellStyle name="Стиль 1 58 2 2 16" xfId="6723"/>
    <cellStyle name="Стиль 1 58 2 2 17" xfId="6724"/>
    <cellStyle name="Стиль 1 58 2 2 18" xfId="6725"/>
    <cellStyle name="Стиль 1 58 2 2 19" xfId="6726"/>
    <cellStyle name="Стиль 1 58 2 2 2" xfId="6727"/>
    <cellStyle name="Стиль 1 58 2 2 2 10" xfId="6728"/>
    <cellStyle name="Стиль 1 58 2 2 2 11" xfId="6729"/>
    <cellStyle name="Стиль 1 58 2 2 2 12" xfId="6730"/>
    <cellStyle name="Стиль 1 58 2 2 2 13" xfId="6731"/>
    <cellStyle name="Стиль 1 58 2 2 2 14" xfId="6732"/>
    <cellStyle name="Стиль 1 58 2 2 2 15" xfId="6733"/>
    <cellStyle name="Стиль 1 58 2 2 2 16" xfId="6734"/>
    <cellStyle name="Стиль 1 58 2 2 2 17" xfId="6735"/>
    <cellStyle name="Стиль 1 58 2 2 2 18" xfId="6736"/>
    <cellStyle name="Стиль 1 58 2 2 2 2" xfId="6737"/>
    <cellStyle name="Стиль 1 58 2 2 2 3" xfId="6738"/>
    <cellStyle name="Стиль 1 58 2 2 2 4" xfId="6739"/>
    <cellStyle name="Стиль 1 58 2 2 2 5" xfId="6740"/>
    <cellStyle name="Стиль 1 58 2 2 2 6" xfId="6741"/>
    <cellStyle name="Стиль 1 58 2 2 2 7" xfId="6742"/>
    <cellStyle name="Стиль 1 58 2 2 2 8" xfId="6743"/>
    <cellStyle name="Стиль 1 58 2 2 2 9" xfId="6744"/>
    <cellStyle name="Стиль 1 58 2 2 20" xfId="6745"/>
    <cellStyle name="Стиль 1 58 2 2 21" xfId="6746"/>
    <cellStyle name="Стиль 1 58 2 2 22" xfId="6747"/>
    <cellStyle name="Стиль 1 58 2 2 23" xfId="6748"/>
    <cellStyle name="Стиль 1 58 2 2 24" xfId="6749"/>
    <cellStyle name="Стиль 1 58 2 2 3" xfId="6750"/>
    <cellStyle name="Стиль 1 58 2 2 4" xfId="6751"/>
    <cellStyle name="Стиль 1 58 2 2 5" xfId="6752"/>
    <cellStyle name="Стиль 1 58 2 2 6" xfId="6753"/>
    <cellStyle name="Стиль 1 58 2 2 7" xfId="6754"/>
    <cellStyle name="Стиль 1 58 2 2 8" xfId="6755"/>
    <cellStyle name="Стиль 1 58 2 2 9" xfId="6756"/>
    <cellStyle name="Стиль 1 58 2 20" xfId="6757"/>
    <cellStyle name="Стиль 1 58 2 21" xfId="6758"/>
    <cellStyle name="Стиль 1 58 2 22" xfId="6759"/>
    <cellStyle name="Стиль 1 58 2 23" xfId="6760"/>
    <cellStyle name="Стиль 1 58 2 24" xfId="6761"/>
    <cellStyle name="Стиль 1 58 2 25" xfId="6762"/>
    <cellStyle name="Стиль 1 58 2 3" xfId="6763"/>
    <cellStyle name="Стиль 1 58 2 4" xfId="6764"/>
    <cellStyle name="Стиль 1 58 2 4 10" xfId="6765"/>
    <cellStyle name="Стиль 1 58 2 4 11" xfId="6766"/>
    <cellStyle name="Стиль 1 58 2 4 12" xfId="6767"/>
    <cellStyle name="Стиль 1 58 2 4 13" xfId="6768"/>
    <cellStyle name="Стиль 1 58 2 4 14" xfId="6769"/>
    <cellStyle name="Стиль 1 58 2 4 15" xfId="6770"/>
    <cellStyle name="Стиль 1 58 2 4 16" xfId="6771"/>
    <cellStyle name="Стиль 1 58 2 4 17" xfId="6772"/>
    <cellStyle name="Стиль 1 58 2 4 18" xfId="6773"/>
    <cellStyle name="Стиль 1 58 2 4 2" xfId="6774"/>
    <cellStyle name="Стиль 1 58 2 4 3" xfId="6775"/>
    <cellStyle name="Стиль 1 58 2 4 4" xfId="6776"/>
    <cellStyle name="Стиль 1 58 2 4 5" xfId="6777"/>
    <cellStyle name="Стиль 1 58 2 4 6" xfId="6778"/>
    <cellStyle name="Стиль 1 58 2 4 7" xfId="6779"/>
    <cellStyle name="Стиль 1 58 2 4 8" xfId="6780"/>
    <cellStyle name="Стиль 1 58 2 4 9" xfId="6781"/>
    <cellStyle name="Стиль 1 58 2 5" xfId="6782"/>
    <cellStyle name="Стиль 1 58 2 6" xfId="6783"/>
    <cellStyle name="Стиль 1 58 2 7" xfId="6784"/>
    <cellStyle name="Стиль 1 58 2 8" xfId="6785"/>
    <cellStyle name="Стиль 1 58 2 9" xfId="6786"/>
    <cellStyle name="Стиль 1 58 20" xfId="6787"/>
    <cellStyle name="Стиль 1 58 21" xfId="6788"/>
    <cellStyle name="Стиль 1 58 22" xfId="6789"/>
    <cellStyle name="Стиль 1 58 23" xfId="6790"/>
    <cellStyle name="Стиль 1 58 24" xfId="6791"/>
    <cellStyle name="Стиль 1 58 25" xfId="6792"/>
    <cellStyle name="Стиль 1 58 3" xfId="6793"/>
    <cellStyle name="Стиль 1 58 3 10" xfId="6794"/>
    <cellStyle name="Стиль 1 58 3 11" xfId="6795"/>
    <cellStyle name="Стиль 1 58 3 12" xfId="6796"/>
    <cellStyle name="Стиль 1 58 3 13" xfId="6797"/>
    <cellStyle name="Стиль 1 58 3 14" xfId="6798"/>
    <cellStyle name="Стиль 1 58 3 15" xfId="6799"/>
    <cellStyle name="Стиль 1 58 3 16" xfId="6800"/>
    <cellStyle name="Стиль 1 58 3 17" xfId="6801"/>
    <cellStyle name="Стиль 1 58 3 18" xfId="6802"/>
    <cellStyle name="Стиль 1 58 3 19" xfId="6803"/>
    <cellStyle name="Стиль 1 58 3 2" xfId="6804"/>
    <cellStyle name="Стиль 1 58 3 2 10" xfId="6805"/>
    <cellStyle name="Стиль 1 58 3 2 11" xfId="6806"/>
    <cellStyle name="Стиль 1 58 3 2 12" xfId="6807"/>
    <cellStyle name="Стиль 1 58 3 2 13" xfId="6808"/>
    <cellStyle name="Стиль 1 58 3 2 14" xfId="6809"/>
    <cellStyle name="Стиль 1 58 3 2 15" xfId="6810"/>
    <cellStyle name="Стиль 1 58 3 2 16" xfId="6811"/>
    <cellStyle name="Стиль 1 58 3 2 17" xfId="6812"/>
    <cellStyle name="Стиль 1 58 3 2 18" xfId="6813"/>
    <cellStyle name="Стиль 1 58 3 2 2" xfId="6814"/>
    <cellStyle name="Стиль 1 58 3 2 3" xfId="6815"/>
    <cellStyle name="Стиль 1 58 3 2 4" xfId="6816"/>
    <cellStyle name="Стиль 1 58 3 2 5" xfId="6817"/>
    <cellStyle name="Стиль 1 58 3 2 6" xfId="6818"/>
    <cellStyle name="Стиль 1 58 3 2 7" xfId="6819"/>
    <cellStyle name="Стиль 1 58 3 2 8" xfId="6820"/>
    <cellStyle name="Стиль 1 58 3 2 9" xfId="6821"/>
    <cellStyle name="Стиль 1 58 3 20" xfId="6822"/>
    <cellStyle name="Стиль 1 58 3 21" xfId="6823"/>
    <cellStyle name="Стиль 1 58 3 22" xfId="6824"/>
    <cellStyle name="Стиль 1 58 3 23" xfId="6825"/>
    <cellStyle name="Стиль 1 58 3 24" xfId="6826"/>
    <cellStyle name="Стиль 1 58 3 3" xfId="6827"/>
    <cellStyle name="Стиль 1 58 3 4" xfId="6828"/>
    <cellStyle name="Стиль 1 58 3 5" xfId="6829"/>
    <cellStyle name="Стиль 1 58 3 6" xfId="6830"/>
    <cellStyle name="Стиль 1 58 3 7" xfId="6831"/>
    <cellStyle name="Стиль 1 58 3 8" xfId="6832"/>
    <cellStyle name="Стиль 1 58 3 9" xfId="6833"/>
    <cellStyle name="Стиль 1 58 4" xfId="6834"/>
    <cellStyle name="Стиль 1 58 4 10" xfId="6835"/>
    <cellStyle name="Стиль 1 58 4 11" xfId="6836"/>
    <cellStyle name="Стиль 1 58 4 12" xfId="6837"/>
    <cellStyle name="Стиль 1 58 4 13" xfId="6838"/>
    <cellStyle name="Стиль 1 58 4 14" xfId="6839"/>
    <cellStyle name="Стиль 1 58 4 15" xfId="6840"/>
    <cellStyle name="Стиль 1 58 4 16" xfId="6841"/>
    <cellStyle name="Стиль 1 58 4 17" xfId="6842"/>
    <cellStyle name="Стиль 1 58 4 18" xfId="6843"/>
    <cellStyle name="Стиль 1 58 4 2" xfId="6844"/>
    <cellStyle name="Стиль 1 58 4 3" xfId="6845"/>
    <cellStyle name="Стиль 1 58 4 4" xfId="6846"/>
    <cellStyle name="Стиль 1 58 4 5" xfId="6847"/>
    <cellStyle name="Стиль 1 58 4 6" xfId="6848"/>
    <cellStyle name="Стиль 1 58 4 7" xfId="6849"/>
    <cellStyle name="Стиль 1 58 4 8" xfId="6850"/>
    <cellStyle name="Стиль 1 58 4 9" xfId="6851"/>
    <cellStyle name="Стиль 1 58 5" xfId="6852"/>
    <cellStyle name="Стиль 1 58 6" xfId="6853"/>
    <cellStyle name="Стиль 1 58 7" xfId="6854"/>
    <cellStyle name="Стиль 1 58 8" xfId="6855"/>
    <cellStyle name="Стиль 1 58 9" xfId="6856"/>
    <cellStyle name="Стиль 1 59" xfId="6857"/>
    <cellStyle name="Стиль 1 59 10" xfId="6858"/>
    <cellStyle name="Стиль 1 59 11" xfId="6859"/>
    <cellStyle name="Стиль 1 59 12" xfId="6860"/>
    <cellStyle name="Стиль 1 59 13" xfId="6861"/>
    <cellStyle name="Стиль 1 59 14" xfId="6862"/>
    <cellStyle name="Стиль 1 59 15" xfId="6863"/>
    <cellStyle name="Стиль 1 59 16" xfId="6864"/>
    <cellStyle name="Стиль 1 59 17" xfId="6865"/>
    <cellStyle name="Стиль 1 59 18" xfId="6866"/>
    <cellStyle name="Стиль 1 59 19" xfId="6867"/>
    <cellStyle name="Стиль 1 59 2" xfId="6868"/>
    <cellStyle name="Стиль 1 59 2 10" xfId="6869"/>
    <cellStyle name="Стиль 1 59 2 11" xfId="6870"/>
    <cellStyle name="Стиль 1 59 2 12" xfId="6871"/>
    <cellStyle name="Стиль 1 59 2 13" xfId="6872"/>
    <cellStyle name="Стиль 1 59 2 14" xfId="6873"/>
    <cellStyle name="Стиль 1 59 2 15" xfId="6874"/>
    <cellStyle name="Стиль 1 59 2 16" xfId="6875"/>
    <cellStyle name="Стиль 1 59 2 17" xfId="6876"/>
    <cellStyle name="Стиль 1 59 2 18" xfId="6877"/>
    <cellStyle name="Стиль 1 59 2 19" xfId="6878"/>
    <cellStyle name="Стиль 1 59 2 2" xfId="6879"/>
    <cellStyle name="Стиль 1 59 2 2 10" xfId="6880"/>
    <cellStyle name="Стиль 1 59 2 2 11" xfId="6881"/>
    <cellStyle name="Стиль 1 59 2 2 12" xfId="6882"/>
    <cellStyle name="Стиль 1 59 2 2 13" xfId="6883"/>
    <cellStyle name="Стиль 1 59 2 2 14" xfId="6884"/>
    <cellStyle name="Стиль 1 59 2 2 15" xfId="6885"/>
    <cellStyle name="Стиль 1 59 2 2 16" xfId="6886"/>
    <cellStyle name="Стиль 1 59 2 2 17" xfId="6887"/>
    <cellStyle name="Стиль 1 59 2 2 18" xfId="6888"/>
    <cellStyle name="Стиль 1 59 2 2 19" xfId="6889"/>
    <cellStyle name="Стиль 1 59 2 2 2" xfId="6890"/>
    <cellStyle name="Стиль 1 59 2 2 2 10" xfId="6891"/>
    <cellStyle name="Стиль 1 59 2 2 2 11" xfId="6892"/>
    <cellStyle name="Стиль 1 59 2 2 2 12" xfId="6893"/>
    <cellStyle name="Стиль 1 59 2 2 2 13" xfId="6894"/>
    <cellStyle name="Стиль 1 59 2 2 2 14" xfId="6895"/>
    <cellStyle name="Стиль 1 59 2 2 2 15" xfId="6896"/>
    <cellStyle name="Стиль 1 59 2 2 2 16" xfId="6897"/>
    <cellStyle name="Стиль 1 59 2 2 2 17" xfId="6898"/>
    <cellStyle name="Стиль 1 59 2 2 2 18" xfId="6899"/>
    <cellStyle name="Стиль 1 59 2 2 2 2" xfId="6900"/>
    <cellStyle name="Стиль 1 59 2 2 2 3" xfId="6901"/>
    <cellStyle name="Стиль 1 59 2 2 2 4" xfId="6902"/>
    <cellStyle name="Стиль 1 59 2 2 2 5" xfId="6903"/>
    <cellStyle name="Стиль 1 59 2 2 2 6" xfId="6904"/>
    <cellStyle name="Стиль 1 59 2 2 2 7" xfId="6905"/>
    <cellStyle name="Стиль 1 59 2 2 2 8" xfId="6906"/>
    <cellStyle name="Стиль 1 59 2 2 2 9" xfId="6907"/>
    <cellStyle name="Стиль 1 59 2 2 20" xfId="6908"/>
    <cellStyle name="Стиль 1 59 2 2 21" xfId="6909"/>
    <cellStyle name="Стиль 1 59 2 2 22" xfId="6910"/>
    <cellStyle name="Стиль 1 59 2 2 23" xfId="6911"/>
    <cellStyle name="Стиль 1 59 2 2 24" xfId="6912"/>
    <cellStyle name="Стиль 1 59 2 2 3" xfId="6913"/>
    <cellStyle name="Стиль 1 59 2 2 4" xfId="6914"/>
    <cellStyle name="Стиль 1 59 2 2 5" xfId="6915"/>
    <cellStyle name="Стиль 1 59 2 2 6" xfId="6916"/>
    <cellStyle name="Стиль 1 59 2 2 7" xfId="6917"/>
    <cellStyle name="Стиль 1 59 2 2 8" xfId="6918"/>
    <cellStyle name="Стиль 1 59 2 2 9" xfId="6919"/>
    <cellStyle name="Стиль 1 59 2 20" xfId="6920"/>
    <cellStyle name="Стиль 1 59 2 21" xfId="6921"/>
    <cellStyle name="Стиль 1 59 2 22" xfId="6922"/>
    <cellStyle name="Стиль 1 59 2 23" xfId="6923"/>
    <cellStyle name="Стиль 1 59 2 24" xfId="6924"/>
    <cellStyle name="Стиль 1 59 2 25" xfId="6925"/>
    <cellStyle name="Стиль 1 59 2 3" xfId="6926"/>
    <cellStyle name="Стиль 1 59 2 4" xfId="6927"/>
    <cellStyle name="Стиль 1 59 2 4 10" xfId="6928"/>
    <cellStyle name="Стиль 1 59 2 4 11" xfId="6929"/>
    <cellStyle name="Стиль 1 59 2 4 12" xfId="6930"/>
    <cellStyle name="Стиль 1 59 2 4 13" xfId="6931"/>
    <cellStyle name="Стиль 1 59 2 4 14" xfId="6932"/>
    <cellStyle name="Стиль 1 59 2 4 15" xfId="6933"/>
    <cellStyle name="Стиль 1 59 2 4 16" xfId="6934"/>
    <cellStyle name="Стиль 1 59 2 4 17" xfId="6935"/>
    <cellStyle name="Стиль 1 59 2 4 18" xfId="6936"/>
    <cellStyle name="Стиль 1 59 2 4 2" xfId="6937"/>
    <cellStyle name="Стиль 1 59 2 4 3" xfId="6938"/>
    <cellStyle name="Стиль 1 59 2 4 4" xfId="6939"/>
    <cellStyle name="Стиль 1 59 2 4 5" xfId="6940"/>
    <cellStyle name="Стиль 1 59 2 4 6" xfId="6941"/>
    <cellStyle name="Стиль 1 59 2 4 7" xfId="6942"/>
    <cellStyle name="Стиль 1 59 2 4 8" xfId="6943"/>
    <cellStyle name="Стиль 1 59 2 4 9" xfId="6944"/>
    <cellStyle name="Стиль 1 59 2 5" xfId="6945"/>
    <cellStyle name="Стиль 1 59 2 6" xfId="6946"/>
    <cellStyle name="Стиль 1 59 2 7" xfId="6947"/>
    <cellStyle name="Стиль 1 59 2 8" xfId="6948"/>
    <cellStyle name="Стиль 1 59 2 9" xfId="6949"/>
    <cellStyle name="Стиль 1 59 20" xfId="6950"/>
    <cellStyle name="Стиль 1 59 21" xfId="6951"/>
    <cellStyle name="Стиль 1 59 22" xfId="6952"/>
    <cellStyle name="Стиль 1 59 23" xfId="6953"/>
    <cellStyle name="Стиль 1 59 24" xfId="6954"/>
    <cellStyle name="Стиль 1 59 25" xfId="6955"/>
    <cellStyle name="Стиль 1 59 3" xfId="6956"/>
    <cellStyle name="Стиль 1 59 3 10" xfId="6957"/>
    <cellStyle name="Стиль 1 59 3 11" xfId="6958"/>
    <cellStyle name="Стиль 1 59 3 12" xfId="6959"/>
    <cellStyle name="Стиль 1 59 3 13" xfId="6960"/>
    <cellStyle name="Стиль 1 59 3 14" xfId="6961"/>
    <cellStyle name="Стиль 1 59 3 15" xfId="6962"/>
    <cellStyle name="Стиль 1 59 3 16" xfId="6963"/>
    <cellStyle name="Стиль 1 59 3 17" xfId="6964"/>
    <cellStyle name="Стиль 1 59 3 18" xfId="6965"/>
    <cellStyle name="Стиль 1 59 3 19" xfId="6966"/>
    <cellStyle name="Стиль 1 59 3 2" xfId="6967"/>
    <cellStyle name="Стиль 1 59 3 2 10" xfId="6968"/>
    <cellStyle name="Стиль 1 59 3 2 11" xfId="6969"/>
    <cellStyle name="Стиль 1 59 3 2 12" xfId="6970"/>
    <cellStyle name="Стиль 1 59 3 2 13" xfId="6971"/>
    <cellStyle name="Стиль 1 59 3 2 14" xfId="6972"/>
    <cellStyle name="Стиль 1 59 3 2 15" xfId="6973"/>
    <cellStyle name="Стиль 1 59 3 2 16" xfId="6974"/>
    <cellStyle name="Стиль 1 59 3 2 17" xfId="6975"/>
    <cellStyle name="Стиль 1 59 3 2 18" xfId="6976"/>
    <cellStyle name="Стиль 1 59 3 2 2" xfId="6977"/>
    <cellStyle name="Стиль 1 59 3 2 3" xfId="6978"/>
    <cellStyle name="Стиль 1 59 3 2 4" xfId="6979"/>
    <cellStyle name="Стиль 1 59 3 2 5" xfId="6980"/>
    <cellStyle name="Стиль 1 59 3 2 6" xfId="6981"/>
    <cellStyle name="Стиль 1 59 3 2 7" xfId="6982"/>
    <cellStyle name="Стиль 1 59 3 2 8" xfId="6983"/>
    <cellStyle name="Стиль 1 59 3 2 9" xfId="6984"/>
    <cellStyle name="Стиль 1 59 3 20" xfId="6985"/>
    <cellStyle name="Стиль 1 59 3 21" xfId="6986"/>
    <cellStyle name="Стиль 1 59 3 22" xfId="6987"/>
    <cellStyle name="Стиль 1 59 3 23" xfId="6988"/>
    <cellStyle name="Стиль 1 59 3 24" xfId="6989"/>
    <cellStyle name="Стиль 1 59 3 3" xfId="6990"/>
    <cellStyle name="Стиль 1 59 3 4" xfId="6991"/>
    <cellStyle name="Стиль 1 59 3 5" xfId="6992"/>
    <cellStyle name="Стиль 1 59 3 6" xfId="6993"/>
    <cellStyle name="Стиль 1 59 3 7" xfId="6994"/>
    <cellStyle name="Стиль 1 59 3 8" xfId="6995"/>
    <cellStyle name="Стиль 1 59 3 9" xfId="6996"/>
    <cellStyle name="Стиль 1 59 4" xfId="6997"/>
    <cellStyle name="Стиль 1 59 4 10" xfId="6998"/>
    <cellStyle name="Стиль 1 59 4 11" xfId="6999"/>
    <cellStyle name="Стиль 1 59 4 12" xfId="7000"/>
    <cellStyle name="Стиль 1 59 4 13" xfId="7001"/>
    <cellStyle name="Стиль 1 59 4 14" xfId="7002"/>
    <cellStyle name="Стиль 1 59 4 15" xfId="7003"/>
    <cellStyle name="Стиль 1 59 4 16" xfId="7004"/>
    <cellStyle name="Стиль 1 59 4 17" xfId="7005"/>
    <cellStyle name="Стиль 1 59 4 18" xfId="7006"/>
    <cellStyle name="Стиль 1 59 4 2" xfId="7007"/>
    <cellStyle name="Стиль 1 59 4 3" xfId="7008"/>
    <cellStyle name="Стиль 1 59 4 4" xfId="7009"/>
    <cellStyle name="Стиль 1 59 4 5" xfId="7010"/>
    <cellStyle name="Стиль 1 59 4 6" xfId="7011"/>
    <cellStyle name="Стиль 1 59 4 7" xfId="7012"/>
    <cellStyle name="Стиль 1 59 4 8" xfId="7013"/>
    <cellStyle name="Стиль 1 59 4 9" xfId="7014"/>
    <cellStyle name="Стиль 1 59 5" xfId="7015"/>
    <cellStyle name="Стиль 1 59 6" xfId="7016"/>
    <cellStyle name="Стиль 1 59 7" xfId="7017"/>
    <cellStyle name="Стиль 1 59 8" xfId="7018"/>
    <cellStyle name="Стиль 1 59 9" xfId="7019"/>
    <cellStyle name="Стиль 1 6" xfId="7020"/>
    <cellStyle name="Стиль 1 60" xfId="7021"/>
    <cellStyle name="Стиль 1 60 10" xfId="7022"/>
    <cellStyle name="Стиль 1 60 11" xfId="7023"/>
    <cellStyle name="Стиль 1 60 12" xfId="7024"/>
    <cellStyle name="Стиль 1 60 13" xfId="7025"/>
    <cellStyle name="Стиль 1 60 14" xfId="7026"/>
    <cellStyle name="Стиль 1 60 15" xfId="7027"/>
    <cellStyle name="Стиль 1 60 16" xfId="7028"/>
    <cellStyle name="Стиль 1 60 17" xfId="7029"/>
    <cellStyle name="Стиль 1 60 18" xfId="7030"/>
    <cellStyle name="Стиль 1 60 19" xfId="7031"/>
    <cellStyle name="Стиль 1 60 2" xfId="7032"/>
    <cellStyle name="Стиль 1 60 2 10" xfId="7033"/>
    <cellStyle name="Стиль 1 60 2 11" xfId="7034"/>
    <cellStyle name="Стиль 1 60 2 12" xfId="7035"/>
    <cellStyle name="Стиль 1 60 2 13" xfId="7036"/>
    <cellStyle name="Стиль 1 60 2 14" xfId="7037"/>
    <cellStyle name="Стиль 1 60 2 15" xfId="7038"/>
    <cellStyle name="Стиль 1 60 2 16" xfId="7039"/>
    <cellStyle name="Стиль 1 60 2 17" xfId="7040"/>
    <cellStyle name="Стиль 1 60 2 18" xfId="7041"/>
    <cellStyle name="Стиль 1 60 2 19" xfId="7042"/>
    <cellStyle name="Стиль 1 60 2 2" xfId="7043"/>
    <cellStyle name="Стиль 1 60 2 2 10" xfId="7044"/>
    <cellStyle name="Стиль 1 60 2 2 11" xfId="7045"/>
    <cellStyle name="Стиль 1 60 2 2 12" xfId="7046"/>
    <cellStyle name="Стиль 1 60 2 2 13" xfId="7047"/>
    <cellStyle name="Стиль 1 60 2 2 14" xfId="7048"/>
    <cellStyle name="Стиль 1 60 2 2 15" xfId="7049"/>
    <cellStyle name="Стиль 1 60 2 2 16" xfId="7050"/>
    <cellStyle name="Стиль 1 60 2 2 17" xfId="7051"/>
    <cellStyle name="Стиль 1 60 2 2 18" xfId="7052"/>
    <cellStyle name="Стиль 1 60 2 2 19" xfId="7053"/>
    <cellStyle name="Стиль 1 60 2 2 2" xfId="7054"/>
    <cellStyle name="Стиль 1 60 2 2 2 10" xfId="7055"/>
    <cellStyle name="Стиль 1 60 2 2 2 11" xfId="7056"/>
    <cellStyle name="Стиль 1 60 2 2 2 12" xfId="7057"/>
    <cellStyle name="Стиль 1 60 2 2 2 13" xfId="7058"/>
    <cellStyle name="Стиль 1 60 2 2 2 14" xfId="7059"/>
    <cellStyle name="Стиль 1 60 2 2 2 15" xfId="7060"/>
    <cellStyle name="Стиль 1 60 2 2 2 16" xfId="7061"/>
    <cellStyle name="Стиль 1 60 2 2 2 17" xfId="7062"/>
    <cellStyle name="Стиль 1 60 2 2 2 18" xfId="7063"/>
    <cellStyle name="Стиль 1 60 2 2 2 2" xfId="7064"/>
    <cellStyle name="Стиль 1 60 2 2 2 3" xfId="7065"/>
    <cellStyle name="Стиль 1 60 2 2 2 4" xfId="7066"/>
    <cellStyle name="Стиль 1 60 2 2 2 5" xfId="7067"/>
    <cellStyle name="Стиль 1 60 2 2 2 6" xfId="7068"/>
    <cellStyle name="Стиль 1 60 2 2 2 7" xfId="7069"/>
    <cellStyle name="Стиль 1 60 2 2 2 8" xfId="7070"/>
    <cellStyle name="Стиль 1 60 2 2 2 9" xfId="7071"/>
    <cellStyle name="Стиль 1 60 2 2 20" xfId="7072"/>
    <cellStyle name="Стиль 1 60 2 2 21" xfId="7073"/>
    <cellStyle name="Стиль 1 60 2 2 22" xfId="7074"/>
    <cellStyle name="Стиль 1 60 2 2 23" xfId="7075"/>
    <cellStyle name="Стиль 1 60 2 2 24" xfId="7076"/>
    <cellStyle name="Стиль 1 60 2 2 3" xfId="7077"/>
    <cellStyle name="Стиль 1 60 2 2 4" xfId="7078"/>
    <cellStyle name="Стиль 1 60 2 2 5" xfId="7079"/>
    <cellStyle name="Стиль 1 60 2 2 6" xfId="7080"/>
    <cellStyle name="Стиль 1 60 2 2 7" xfId="7081"/>
    <cellStyle name="Стиль 1 60 2 2 8" xfId="7082"/>
    <cellStyle name="Стиль 1 60 2 2 9" xfId="7083"/>
    <cellStyle name="Стиль 1 60 2 20" xfId="7084"/>
    <cellStyle name="Стиль 1 60 2 21" xfId="7085"/>
    <cellStyle name="Стиль 1 60 2 22" xfId="7086"/>
    <cellStyle name="Стиль 1 60 2 23" xfId="7087"/>
    <cellStyle name="Стиль 1 60 2 24" xfId="7088"/>
    <cellStyle name="Стиль 1 60 2 25" xfId="7089"/>
    <cellStyle name="Стиль 1 60 2 3" xfId="7090"/>
    <cellStyle name="Стиль 1 60 2 4" xfId="7091"/>
    <cellStyle name="Стиль 1 60 2 4 10" xfId="7092"/>
    <cellStyle name="Стиль 1 60 2 4 11" xfId="7093"/>
    <cellStyle name="Стиль 1 60 2 4 12" xfId="7094"/>
    <cellStyle name="Стиль 1 60 2 4 13" xfId="7095"/>
    <cellStyle name="Стиль 1 60 2 4 14" xfId="7096"/>
    <cellStyle name="Стиль 1 60 2 4 15" xfId="7097"/>
    <cellStyle name="Стиль 1 60 2 4 16" xfId="7098"/>
    <cellStyle name="Стиль 1 60 2 4 17" xfId="7099"/>
    <cellStyle name="Стиль 1 60 2 4 18" xfId="7100"/>
    <cellStyle name="Стиль 1 60 2 4 2" xfId="7101"/>
    <cellStyle name="Стиль 1 60 2 4 3" xfId="7102"/>
    <cellStyle name="Стиль 1 60 2 4 4" xfId="7103"/>
    <cellStyle name="Стиль 1 60 2 4 5" xfId="7104"/>
    <cellStyle name="Стиль 1 60 2 4 6" xfId="7105"/>
    <cellStyle name="Стиль 1 60 2 4 7" xfId="7106"/>
    <cellStyle name="Стиль 1 60 2 4 8" xfId="7107"/>
    <cellStyle name="Стиль 1 60 2 4 9" xfId="7108"/>
    <cellStyle name="Стиль 1 60 2 5" xfId="7109"/>
    <cellStyle name="Стиль 1 60 2 6" xfId="7110"/>
    <cellStyle name="Стиль 1 60 2 7" xfId="7111"/>
    <cellStyle name="Стиль 1 60 2 8" xfId="7112"/>
    <cellStyle name="Стиль 1 60 2 9" xfId="7113"/>
    <cellStyle name="Стиль 1 60 20" xfId="7114"/>
    <cellStyle name="Стиль 1 60 21" xfId="7115"/>
    <cellStyle name="Стиль 1 60 22" xfId="7116"/>
    <cellStyle name="Стиль 1 60 23" xfId="7117"/>
    <cellStyle name="Стиль 1 60 24" xfId="7118"/>
    <cellStyle name="Стиль 1 60 25" xfId="7119"/>
    <cellStyle name="Стиль 1 60 3" xfId="7120"/>
    <cellStyle name="Стиль 1 60 3 10" xfId="7121"/>
    <cellStyle name="Стиль 1 60 3 11" xfId="7122"/>
    <cellStyle name="Стиль 1 60 3 12" xfId="7123"/>
    <cellStyle name="Стиль 1 60 3 13" xfId="7124"/>
    <cellStyle name="Стиль 1 60 3 14" xfId="7125"/>
    <cellStyle name="Стиль 1 60 3 15" xfId="7126"/>
    <cellStyle name="Стиль 1 60 3 16" xfId="7127"/>
    <cellStyle name="Стиль 1 60 3 17" xfId="7128"/>
    <cellStyle name="Стиль 1 60 3 18" xfId="7129"/>
    <cellStyle name="Стиль 1 60 3 19" xfId="7130"/>
    <cellStyle name="Стиль 1 60 3 2" xfId="7131"/>
    <cellStyle name="Стиль 1 60 3 2 10" xfId="7132"/>
    <cellStyle name="Стиль 1 60 3 2 11" xfId="7133"/>
    <cellStyle name="Стиль 1 60 3 2 12" xfId="7134"/>
    <cellStyle name="Стиль 1 60 3 2 13" xfId="7135"/>
    <cellStyle name="Стиль 1 60 3 2 14" xfId="7136"/>
    <cellStyle name="Стиль 1 60 3 2 15" xfId="7137"/>
    <cellStyle name="Стиль 1 60 3 2 16" xfId="7138"/>
    <cellStyle name="Стиль 1 60 3 2 17" xfId="7139"/>
    <cellStyle name="Стиль 1 60 3 2 18" xfId="7140"/>
    <cellStyle name="Стиль 1 60 3 2 2" xfId="7141"/>
    <cellStyle name="Стиль 1 60 3 2 3" xfId="7142"/>
    <cellStyle name="Стиль 1 60 3 2 4" xfId="7143"/>
    <cellStyle name="Стиль 1 60 3 2 5" xfId="7144"/>
    <cellStyle name="Стиль 1 60 3 2 6" xfId="7145"/>
    <cellStyle name="Стиль 1 60 3 2 7" xfId="7146"/>
    <cellStyle name="Стиль 1 60 3 2 8" xfId="7147"/>
    <cellStyle name="Стиль 1 60 3 2 9" xfId="7148"/>
    <cellStyle name="Стиль 1 60 3 20" xfId="7149"/>
    <cellStyle name="Стиль 1 60 3 21" xfId="7150"/>
    <cellStyle name="Стиль 1 60 3 22" xfId="7151"/>
    <cellStyle name="Стиль 1 60 3 23" xfId="7152"/>
    <cellStyle name="Стиль 1 60 3 24" xfId="7153"/>
    <cellStyle name="Стиль 1 60 3 3" xfId="7154"/>
    <cellStyle name="Стиль 1 60 3 4" xfId="7155"/>
    <cellStyle name="Стиль 1 60 3 5" xfId="7156"/>
    <cellStyle name="Стиль 1 60 3 6" xfId="7157"/>
    <cellStyle name="Стиль 1 60 3 7" xfId="7158"/>
    <cellStyle name="Стиль 1 60 3 8" xfId="7159"/>
    <cellStyle name="Стиль 1 60 3 9" xfId="7160"/>
    <cellStyle name="Стиль 1 60 4" xfId="7161"/>
    <cellStyle name="Стиль 1 60 4 10" xfId="7162"/>
    <cellStyle name="Стиль 1 60 4 11" xfId="7163"/>
    <cellStyle name="Стиль 1 60 4 12" xfId="7164"/>
    <cellStyle name="Стиль 1 60 4 13" xfId="7165"/>
    <cellStyle name="Стиль 1 60 4 14" xfId="7166"/>
    <cellStyle name="Стиль 1 60 4 15" xfId="7167"/>
    <cellStyle name="Стиль 1 60 4 16" xfId="7168"/>
    <cellStyle name="Стиль 1 60 4 17" xfId="7169"/>
    <cellStyle name="Стиль 1 60 4 18" xfId="7170"/>
    <cellStyle name="Стиль 1 60 4 2" xfId="7171"/>
    <cellStyle name="Стиль 1 60 4 3" xfId="7172"/>
    <cellStyle name="Стиль 1 60 4 4" xfId="7173"/>
    <cellStyle name="Стиль 1 60 4 5" xfId="7174"/>
    <cellStyle name="Стиль 1 60 4 6" xfId="7175"/>
    <cellStyle name="Стиль 1 60 4 7" xfId="7176"/>
    <cellStyle name="Стиль 1 60 4 8" xfId="7177"/>
    <cellStyle name="Стиль 1 60 4 9" xfId="7178"/>
    <cellStyle name="Стиль 1 60 5" xfId="7179"/>
    <cellStyle name="Стиль 1 60 6" xfId="7180"/>
    <cellStyle name="Стиль 1 60 7" xfId="7181"/>
    <cellStyle name="Стиль 1 60 8" xfId="7182"/>
    <cellStyle name="Стиль 1 60 9" xfId="7183"/>
    <cellStyle name="Стиль 1 61" xfId="7184"/>
    <cellStyle name="Стиль 1 61 10" xfId="7185"/>
    <cellStyle name="Стиль 1 61 11" xfId="7186"/>
    <cellStyle name="Стиль 1 61 12" xfId="7187"/>
    <cellStyle name="Стиль 1 61 13" xfId="7188"/>
    <cellStyle name="Стиль 1 61 14" xfId="7189"/>
    <cellStyle name="Стиль 1 61 15" xfId="7190"/>
    <cellStyle name="Стиль 1 61 16" xfId="7191"/>
    <cellStyle name="Стиль 1 61 17" xfId="7192"/>
    <cellStyle name="Стиль 1 61 18" xfId="7193"/>
    <cellStyle name="Стиль 1 61 19" xfId="7194"/>
    <cellStyle name="Стиль 1 61 2" xfId="7195"/>
    <cellStyle name="Стиль 1 61 2 10" xfId="7196"/>
    <cellStyle name="Стиль 1 61 2 11" xfId="7197"/>
    <cellStyle name="Стиль 1 61 2 12" xfId="7198"/>
    <cellStyle name="Стиль 1 61 2 13" xfId="7199"/>
    <cellStyle name="Стиль 1 61 2 14" xfId="7200"/>
    <cellStyle name="Стиль 1 61 2 15" xfId="7201"/>
    <cellStyle name="Стиль 1 61 2 16" xfId="7202"/>
    <cellStyle name="Стиль 1 61 2 17" xfId="7203"/>
    <cellStyle name="Стиль 1 61 2 18" xfId="7204"/>
    <cellStyle name="Стиль 1 61 2 19" xfId="7205"/>
    <cellStyle name="Стиль 1 61 2 2" xfId="7206"/>
    <cellStyle name="Стиль 1 61 2 2 10" xfId="7207"/>
    <cellStyle name="Стиль 1 61 2 2 11" xfId="7208"/>
    <cellStyle name="Стиль 1 61 2 2 12" xfId="7209"/>
    <cellStyle name="Стиль 1 61 2 2 13" xfId="7210"/>
    <cellStyle name="Стиль 1 61 2 2 14" xfId="7211"/>
    <cellStyle name="Стиль 1 61 2 2 15" xfId="7212"/>
    <cellStyle name="Стиль 1 61 2 2 16" xfId="7213"/>
    <cellStyle name="Стиль 1 61 2 2 17" xfId="7214"/>
    <cellStyle name="Стиль 1 61 2 2 18" xfId="7215"/>
    <cellStyle name="Стиль 1 61 2 2 19" xfId="7216"/>
    <cellStyle name="Стиль 1 61 2 2 2" xfId="7217"/>
    <cellStyle name="Стиль 1 61 2 2 2 10" xfId="7218"/>
    <cellStyle name="Стиль 1 61 2 2 2 11" xfId="7219"/>
    <cellStyle name="Стиль 1 61 2 2 2 12" xfId="7220"/>
    <cellStyle name="Стиль 1 61 2 2 2 13" xfId="7221"/>
    <cellStyle name="Стиль 1 61 2 2 2 14" xfId="7222"/>
    <cellStyle name="Стиль 1 61 2 2 2 15" xfId="7223"/>
    <cellStyle name="Стиль 1 61 2 2 2 16" xfId="7224"/>
    <cellStyle name="Стиль 1 61 2 2 2 17" xfId="7225"/>
    <cellStyle name="Стиль 1 61 2 2 2 18" xfId="7226"/>
    <cellStyle name="Стиль 1 61 2 2 2 2" xfId="7227"/>
    <cellStyle name="Стиль 1 61 2 2 2 3" xfId="7228"/>
    <cellStyle name="Стиль 1 61 2 2 2 4" xfId="7229"/>
    <cellStyle name="Стиль 1 61 2 2 2 5" xfId="7230"/>
    <cellStyle name="Стиль 1 61 2 2 2 6" xfId="7231"/>
    <cellStyle name="Стиль 1 61 2 2 2 7" xfId="7232"/>
    <cellStyle name="Стиль 1 61 2 2 2 8" xfId="7233"/>
    <cellStyle name="Стиль 1 61 2 2 2 9" xfId="7234"/>
    <cellStyle name="Стиль 1 61 2 2 20" xfId="7235"/>
    <cellStyle name="Стиль 1 61 2 2 21" xfId="7236"/>
    <cellStyle name="Стиль 1 61 2 2 22" xfId="7237"/>
    <cellStyle name="Стиль 1 61 2 2 23" xfId="7238"/>
    <cellStyle name="Стиль 1 61 2 2 24" xfId="7239"/>
    <cellStyle name="Стиль 1 61 2 2 3" xfId="7240"/>
    <cellStyle name="Стиль 1 61 2 2 4" xfId="7241"/>
    <cellStyle name="Стиль 1 61 2 2 5" xfId="7242"/>
    <cellStyle name="Стиль 1 61 2 2 6" xfId="7243"/>
    <cellStyle name="Стиль 1 61 2 2 7" xfId="7244"/>
    <cellStyle name="Стиль 1 61 2 2 8" xfId="7245"/>
    <cellStyle name="Стиль 1 61 2 2 9" xfId="7246"/>
    <cellStyle name="Стиль 1 61 2 20" xfId="7247"/>
    <cellStyle name="Стиль 1 61 2 21" xfId="7248"/>
    <cellStyle name="Стиль 1 61 2 22" xfId="7249"/>
    <cellStyle name="Стиль 1 61 2 23" xfId="7250"/>
    <cellStyle name="Стиль 1 61 2 24" xfId="7251"/>
    <cellStyle name="Стиль 1 61 2 25" xfId="7252"/>
    <cellStyle name="Стиль 1 61 2 3" xfId="7253"/>
    <cellStyle name="Стиль 1 61 2 4" xfId="7254"/>
    <cellStyle name="Стиль 1 61 2 4 10" xfId="7255"/>
    <cellStyle name="Стиль 1 61 2 4 11" xfId="7256"/>
    <cellStyle name="Стиль 1 61 2 4 12" xfId="7257"/>
    <cellStyle name="Стиль 1 61 2 4 13" xfId="7258"/>
    <cellStyle name="Стиль 1 61 2 4 14" xfId="7259"/>
    <cellStyle name="Стиль 1 61 2 4 15" xfId="7260"/>
    <cellStyle name="Стиль 1 61 2 4 16" xfId="7261"/>
    <cellStyle name="Стиль 1 61 2 4 17" xfId="7262"/>
    <cellStyle name="Стиль 1 61 2 4 18" xfId="7263"/>
    <cellStyle name="Стиль 1 61 2 4 2" xfId="7264"/>
    <cellStyle name="Стиль 1 61 2 4 3" xfId="7265"/>
    <cellStyle name="Стиль 1 61 2 4 4" xfId="7266"/>
    <cellStyle name="Стиль 1 61 2 4 5" xfId="7267"/>
    <cellStyle name="Стиль 1 61 2 4 6" xfId="7268"/>
    <cellStyle name="Стиль 1 61 2 4 7" xfId="7269"/>
    <cellStyle name="Стиль 1 61 2 4 8" xfId="7270"/>
    <cellStyle name="Стиль 1 61 2 4 9" xfId="7271"/>
    <cellStyle name="Стиль 1 61 2 5" xfId="7272"/>
    <cellStyle name="Стиль 1 61 2 6" xfId="7273"/>
    <cellStyle name="Стиль 1 61 2 7" xfId="7274"/>
    <cellStyle name="Стиль 1 61 2 8" xfId="7275"/>
    <cellStyle name="Стиль 1 61 2 9" xfId="7276"/>
    <cellStyle name="Стиль 1 61 20" xfId="7277"/>
    <cellStyle name="Стиль 1 61 21" xfId="7278"/>
    <cellStyle name="Стиль 1 61 22" xfId="7279"/>
    <cellStyle name="Стиль 1 61 23" xfId="7280"/>
    <cellStyle name="Стиль 1 61 24" xfId="7281"/>
    <cellStyle name="Стиль 1 61 25" xfId="7282"/>
    <cellStyle name="Стиль 1 61 3" xfId="7283"/>
    <cellStyle name="Стиль 1 61 3 10" xfId="7284"/>
    <cellStyle name="Стиль 1 61 3 11" xfId="7285"/>
    <cellStyle name="Стиль 1 61 3 12" xfId="7286"/>
    <cellStyle name="Стиль 1 61 3 13" xfId="7287"/>
    <cellStyle name="Стиль 1 61 3 14" xfId="7288"/>
    <cellStyle name="Стиль 1 61 3 15" xfId="7289"/>
    <cellStyle name="Стиль 1 61 3 16" xfId="7290"/>
    <cellStyle name="Стиль 1 61 3 17" xfId="7291"/>
    <cellStyle name="Стиль 1 61 3 18" xfId="7292"/>
    <cellStyle name="Стиль 1 61 3 19" xfId="7293"/>
    <cellStyle name="Стиль 1 61 3 2" xfId="7294"/>
    <cellStyle name="Стиль 1 61 3 2 10" xfId="7295"/>
    <cellStyle name="Стиль 1 61 3 2 11" xfId="7296"/>
    <cellStyle name="Стиль 1 61 3 2 12" xfId="7297"/>
    <cellStyle name="Стиль 1 61 3 2 13" xfId="7298"/>
    <cellStyle name="Стиль 1 61 3 2 14" xfId="7299"/>
    <cellStyle name="Стиль 1 61 3 2 15" xfId="7300"/>
    <cellStyle name="Стиль 1 61 3 2 16" xfId="7301"/>
    <cellStyle name="Стиль 1 61 3 2 17" xfId="7302"/>
    <cellStyle name="Стиль 1 61 3 2 18" xfId="7303"/>
    <cellStyle name="Стиль 1 61 3 2 2" xfId="7304"/>
    <cellStyle name="Стиль 1 61 3 2 3" xfId="7305"/>
    <cellStyle name="Стиль 1 61 3 2 4" xfId="7306"/>
    <cellStyle name="Стиль 1 61 3 2 5" xfId="7307"/>
    <cellStyle name="Стиль 1 61 3 2 6" xfId="7308"/>
    <cellStyle name="Стиль 1 61 3 2 7" xfId="7309"/>
    <cellStyle name="Стиль 1 61 3 2 8" xfId="7310"/>
    <cellStyle name="Стиль 1 61 3 2 9" xfId="7311"/>
    <cellStyle name="Стиль 1 61 3 20" xfId="7312"/>
    <cellStyle name="Стиль 1 61 3 21" xfId="7313"/>
    <cellStyle name="Стиль 1 61 3 22" xfId="7314"/>
    <cellStyle name="Стиль 1 61 3 23" xfId="7315"/>
    <cellStyle name="Стиль 1 61 3 24" xfId="7316"/>
    <cellStyle name="Стиль 1 61 3 3" xfId="7317"/>
    <cellStyle name="Стиль 1 61 3 4" xfId="7318"/>
    <cellStyle name="Стиль 1 61 3 5" xfId="7319"/>
    <cellStyle name="Стиль 1 61 3 6" xfId="7320"/>
    <cellStyle name="Стиль 1 61 3 7" xfId="7321"/>
    <cellStyle name="Стиль 1 61 3 8" xfId="7322"/>
    <cellStyle name="Стиль 1 61 3 9" xfId="7323"/>
    <cellStyle name="Стиль 1 61 4" xfId="7324"/>
    <cellStyle name="Стиль 1 61 4 10" xfId="7325"/>
    <cellStyle name="Стиль 1 61 4 11" xfId="7326"/>
    <cellStyle name="Стиль 1 61 4 12" xfId="7327"/>
    <cellStyle name="Стиль 1 61 4 13" xfId="7328"/>
    <cellStyle name="Стиль 1 61 4 14" xfId="7329"/>
    <cellStyle name="Стиль 1 61 4 15" xfId="7330"/>
    <cellStyle name="Стиль 1 61 4 16" xfId="7331"/>
    <cellStyle name="Стиль 1 61 4 17" xfId="7332"/>
    <cellStyle name="Стиль 1 61 4 18" xfId="7333"/>
    <cellStyle name="Стиль 1 61 4 2" xfId="7334"/>
    <cellStyle name="Стиль 1 61 4 3" xfId="7335"/>
    <cellStyle name="Стиль 1 61 4 4" xfId="7336"/>
    <cellStyle name="Стиль 1 61 4 5" xfId="7337"/>
    <cellStyle name="Стиль 1 61 4 6" xfId="7338"/>
    <cellStyle name="Стиль 1 61 4 7" xfId="7339"/>
    <cellStyle name="Стиль 1 61 4 8" xfId="7340"/>
    <cellStyle name="Стиль 1 61 4 9" xfId="7341"/>
    <cellStyle name="Стиль 1 61 5" xfId="7342"/>
    <cellStyle name="Стиль 1 61 6" xfId="7343"/>
    <cellStyle name="Стиль 1 61 7" xfId="7344"/>
    <cellStyle name="Стиль 1 61 8" xfId="7345"/>
    <cellStyle name="Стиль 1 61 9" xfId="7346"/>
    <cellStyle name="Стиль 1 62" xfId="7347"/>
    <cellStyle name="Стиль 1 62 10" xfId="7348"/>
    <cellStyle name="Стиль 1 62 11" xfId="7349"/>
    <cellStyle name="Стиль 1 62 12" xfId="7350"/>
    <cellStyle name="Стиль 1 62 13" xfId="7351"/>
    <cellStyle name="Стиль 1 62 14" xfId="7352"/>
    <cellStyle name="Стиль 1 62 15" xfId="7353"/>
    <cellStyle name="Стиль 1 62 16" xfId="7354"/>
    <cellStyle name="Стиль 1 62 17" xfId="7355"/>
    <cellStyle name="Стиль 1 62 18" xfId="7356"/>
    <cellStyle name="Стиль 1 62 19" xfId="7357"/>
    <cellStyle name="Стиль 1 62 2" xfId="7358"/>
    <cellStyle name="Стиль 1 62 2 10" xfId="7359"/>
    <cellStyle name="Стиль 1 62 2 11" xfId="7360"/>
    <cellStyle name="Стиль 1 62 2 12" xfId="7361"/>
    <cellStyle name="Стиль 1 62 2 13" xfId="7362"/>
    <cellStyle name="Стиль 1 62 2 14" xfId="7363"/>
    <cellStyle name="Стиль 1 62 2 15" xfId="7364"/>
    <cellStyle name="Стиль 1 62 2 16" xfId="7365"/>
    <cellStyle name="Стиль 1 62 2 17" xfId="7366"/>
    <cellStyle name="Стиль 1 62 2 18" xfId="7367"/>
    <cellStyle name="Стиль 1 62 2 19" xfId="7368"/>
    <cellStyle name="Стиль 1 62 2 2" xfId="7369"/>
    <cellStyle name="Стиль 1 62 2 2 10" xfId="7370"/>
    <cellStyle name="Стиль 1 62 2 2 11" xfId="7371"/>
    <cellStyle name="Стиль 1 62 2 2 12" xfId="7372"/>
    <cellStyle name="Стиль 1 62 2 2 13" xfId="7373"/>
    <cellStyle name="Стиль 1 62 2 2 14" xfId="7374"/>
    <cellStyle name="Стиль 1 62 2 2 15" xfId="7375"/>
    <cellStyle name="Стиль 1 62 2 2 16" xfId="7376"/>
    <cellStyle name="Стиль 1 62 2 2 17" xfId="7377"/>
    <cellStyle name="Стиль 1 62 2 2 18" xfId="7378"/>
    <cellStyle name="Стиль 1 62 2 2 19" xfId="7379"/>
    <cellStyle name="Стиль 1 62 2 2 2" xfId="7380"/>
    <cellStyle name="Стиль 1 62 2 2 2 10" xfId="7381"/>
    <cellStyle name="Стиль 1 62 2 2 2 11" xfId="7382"/>
    <cellStyle name="Стиль 1 62 2 2 2 12" xfId="7383"/>
    <cellStyle name="Стиль 1 62 2 2 2 13" xfId="7384"/>
    <cellStyle name="Стиль 1 62 2 2 2 14" xfId="7385"/>
    <cellStyle name="Стиль 1 62 2 2 2 15" xfId="7386"/>
    <cellStyle name="Стиль 1 62 2 2 2 16" xfId="7387"/>
    <cellStyle name="Стиль 1 62 2 2 2 17" xfId="7388"/>
    <cellStyle name="Стиль 1 62 2 2 2 18" xfId="7389"/>
    <cellStyle name="Стиль 1 62 2 2 2 2" xfId="7390"/>
    <cellStyle name="Стиль 1 62 2 2 2 3" xfId="7391"/>
    <cellStyle name="Стиль 1 62 2 2 2 4" xfId="7392"/>
    <cellStyle name="Стиль 1 62 2 2 2 5" xfId="7393"/>
    <cellStyle name="Стиль 1 62 2 2 2 6" xfId="7394"/>
    <cellStyle name="Стиль 1 62 2 2 2 7" xfId="7395"/>
    <cellStyle name="Стиль 1 62 2 2 2 8" xfId="7396"/>
    <cellStyle name="Стиль 1 62 2 2 2 9" xfId="7397"/>
    <cellStyle name="Стиль 1 62 2 2 20" xfId="7398"/>
    <cellStyle name="Стиль 1 62 2 2 21" xfId="7399"/>
    <cellStyle name="Стиль 1 62 2 2 22" xfId="7400"/>
    <cellStyle name="Стиль 1 62 2 2 23" xfId="7401"/>
    <cellStyle name="Стиль 1 62 2 2 24" xfId="7402"/>
    <cellStyle name="Стиль 1 62 2 2 3" xfId="7403"/>
    <cellStyle name="Стиль 1 62 2 2 4" xfId="7404"/>
    <cellStyle name="Стиль 1 62 2 2 5" xfId="7405"/>
    <cellStyle name="Стиль 1 62 2 2 6" xfId="7406"/>
    <cellStyle name="Стиль 1 62 2 2 7" xfId="7407"/>
    <cellStyle name="Стиль 1 62 2 2 8" xfId="7408"/>
    <cellStyle name="Стиль 1 62 2 2 9" xfId="7409"/>
    <cellStyle name="Стиль 1 62 2 20" xfId="7410"/>
    <cellStyle name="Стиль 1 62 2 21" xfId="7411"/>
    <cellStyle name="Стиль 1 62 2 22" xfId="7412"/>
    <cellStyle name="Стиль 1 62 2 23" xfId="7413"/>
    <cellStyle name="Стиль 1 62 2 24" xfId="7414"/>
    <cellStyle name="Стиль 1 62 2 25" xfId="7415"/>
    <cellStyle name="Стиль 1 62 2 3" xfId="7416"/>
    <cellStyle name="Стиль 1 62 2 4" xfId="7417"/>
    <cellStyle name="Стиль 1 62 2 4 10" xfId="7418"/>
    <cellStyle name="Стиль 1 62 2 4 11" xfId="7419"/>
    <cellStyle name="Стиль 1 62 2 4 12" xfId="7420"/>
    <cellStyle name="Стиль 1 62 2 4 13" xfId="7421"/>
    <cellStyle name="Стиль 1 62 2 4 14" xfId="7422"/>
    <cellStyle name="Стиль 1 62 2 4 15" xfId="7423"/>
    <cellStyle name="Стиль 1 62 2 4 16" xfId="7424"/>
    <cellStyle name="Стиль 1 62 2 4 17" xfId="7425"/>
    <cellStyle name="Стиль 1 62 2 4 18" xfId="7426"/>
    <cellStyle name="Стиль 1 62 2 4 2" xfId="7427"/>
    <cellStyle name="Стиль 1 62 2 4 3" xfId="7428"/>
    <cellStyle name="Стиль 1 62 2 4 4" xfId="7429"/>
    <cellStyle name="Стиль 1 62 2 4 5" xfId="7430"/>
    <cellStyle name="Стиль 1 62 2 4 6" xfId="7431"/>
    <cellStyle name="Стиль 1 62 2 4 7" xfId="7432"/>
    <cellStyle name="Стиль 1 62 2 4 8" xfId="7433"/>
    <cellStyle name="Стиль 1 62 2 4 9" xfId="7434"/>
    <cellStyle name="Стиль 1 62 2 5" xfId="7435"/>
    <cellStyle name="Стиль 1 62 2 6" xfId="7436"/>
    <cellStyle name="Стиль 1 62 2 7" xfId="7437"/>
    <cellStyle name="Стиль 1 62 2 8" xfId="7438"/>
    <cellStyle name="Стиль 1 62 2 9" xfId="7439"/>
    <cellStyle name="Стиль 1 62 20" xfId="7440"/>
    <cellStyle name="Стиль 1 62 21" xfId="7441"/>
    <cellStyle name="Стиль 1 62 22" xfId="7442"/>
    <cellStyle name="Стиль 1 62 23" xfId="7443"/>
    <cellStyle name="Стиль 1 62 24" xfId="7444"/>
    <cellStyle name="Стиль 1 62 25" xfId="7445"/>
    <cellStyle name="Стиль 1 62 3" xfId="7446"/>
    <cellStyle name="Стиль 1 62 3 10" xfId="7447"/>
    <cellStyle name="Стиль 1 62 3 11" xfId="7448"/>
    <cellStyle name="Стиль 1 62 3 12" xfId="7449"/>
    <cellStyle name="Стиль 1 62 3 13" xfId="7450"/>
    <cellStyle name="Стиль 1 62 3 14" xfId="7451"/>
    <cellStyle name="Стиль 1 62 3 15" xfId="7452"/>
    <cellStyle name="Стиль 1 62 3 16" xfId="7453"/>
    <cellStyle name="Стиль 1 62 3 17" xfId="7454"/>
    <cellStyle name="Стиль 1 62 3 18" xfId="7455"/>
    <cellStyle name="Стиль 1 62 3 19" xfId="7456"/>
    <cellStyle name="Стиль 1 62 3 2" xfId="7457"/>
    <cellStyle name="Стиль 1 62 3 2 10" xfId="7458"/>
    <cellStyle name="Стиль 1 62 3 2 11" xfId="7459"/>
    <cellStyle name="Стиль 1 62 3 2 12" xfId="7460"/>
    <cellStyle name="Стиль 1 62 3 2 13" xfId="7461"/>
    <cellStyle name="Стиль 1 62 3 2 14" xfId="7462"/>
    <cellStyle name="Стиль 1 62 3 2 15" xfId="7463"/>
    <cellStyle name="Стиль 1 62 3 2 16" xfId="7464"/>
    <cellStyle name="Стиль 1 62 3 2 17" xfId="7465"/>
    <cellStyle name="Стиль 1 62 3 2 18" xfId="7466"/>
    <cellStyle name="Стиль 1 62 3 2 2" xfId="7467"/>
    <cellStyle name="Стиль 1 62 3 2 3" xfId="7468"/>
    <cellStyle name="Стиль 1 62 3 2 4" xfId="7469"/>
    <cellStyle name="Стиль 1 62 3 2 5" xfId="7470"/>
    <cellStyle name="Стиль 1 62 3 2 6" xfId="7471"/>
    <cellStyle name="Стиль 1 62 3 2 7" xfId="7472"/>
    <cellStyle name="Стиль 1 62 3 2 8" xfId="7473"/>
    <cellStyle name="Стиль 1 62 3 2 9" xfId="7474"/>
    <cellStyle name="Стиль 1 62 3 20" xfId="7475"/>
    <cellStyle name="Стиль 1 62 3 21" xfId="7476"/>
    <cellStyle name="Стиль 1 62 3 22" xfId="7477"/>
    <cellStyle name="Стиль 1 62 3 23" xfId="7478"/>
    <cellStyle name="Стиль 1 62 3 24" xfId="7479"/>
    <cellStyle name="Стиль 1 62 3 3" xfId="7480"/>
    <cellStyle name="Стиль 1 62 3 4" xfId="7481"/>
    <cellStyle name="Стиль 1 62 3 5" xfId="7482"/>
    <cellStyle name="Стиль 1 62 3 6" xfId="7483"/>
    <cellStyle name="Стиль 1 62 3 7" xfId="7484"/>
    <cellStyle name="Стиль 1 62 3 8" xfId="7485"/>
    <cellStyle name="Стиль 1 62 3 9" xfId="7486"/>
    <cellStyle name="Стиль 1 62 4" xfId="7487"/>
    <cellStyle name="Стиль 1 62 4 10" xfId="7488"/>
    <cellStyle name="Стиль 1 62 4 11" xfId="7489"/>
    <cellStyle name="Стиль 1 62 4 12" xfId="7490"/>
    <cellStyle name="Стиль 1 62 4 13" xfId="7491"/>
    <cellStyle name="Стиль 1 62 4 14" xfId="7492"/>
    <cellStyle name="Стиль 1 62 4 15" xfId="7493"/>
    <cellStyle name="Стиль 1 62 4 16" xfId="7494"/>
    <cellStyle name="Стиль 1 62 4 17" xfId="7495"/>
    <cellStyle name="Стиль 1 62 4 18" xfId="7496"/>
    <cellStyle name="Стиль 1 62 4 2" xfId="7497"/>
    <cellStyle name="Стиль 1 62 4 3" xfId="7498"/>
    <cellStyle name="Стиль 1 62 4 4" xfId="7499"/>
    <cellStyle name="Стиль 1 62 4 5" xfId="7500"/>
    <cellStyle name="Стиль 1 62 4 6" xfId="7501"/>
    <cellStyle name="Стиль 1 62 4 7" xfId="7502"/>
    <cellStyle name="Стиль 1 62 4 8" xfId="7503"/>
    <cellStyle name="Стиль 1 62 4 9" xfId="7504"/>
    <cellStyle name="Стиль 1 62 5" xfId="7505"/>
    <cellStyle name="Стиль 1 62 6" xfId="7506"/>
    <cellStyle name="Стиль 1 62 7" xfId="7507"/>
    <cellStyle name="Стиль 1 62 8" xfId="7508"/>
    <cellStyle name="Стиль 1 62 9" xfId="7509"/>
    <cellStyle name="Стиль 1 63" xfId="7510"/>
    <cellStyle name="Стиль 1 63 10" xfId="7511"/>
    <cellStyle name="Стиль 1 63 11" xfId="7512"/>
    <cellStyle name="Стиль 1 63 12" xfId="7513"/>
    <cellStyle name="Стиль 1 63 13" xfId="7514"/>
    <cellStyle name="Стиль 1 63 14" xfId="7515"/>
    <cellStyle name="Стиль 1 63 15" xfId="7516"/>
    <cellStyle name="Стиль 1 63 16" xfId="7517"/>
    <cellStyle name="Стиль 1 63 17" xfId="7518"/>
    <cellStyle name="Стиль 1 63 18" xfId="7519"/>
    <cellStyle name="Стиль 1 63 19" xfId="7520"/>
    <cellStyle name="Стиль 1 63 2" xfId="7521"/>
    <cellStyle name="Стиль 1 63 2 10" xfId="7522"/>
    <cellStyle name="Стиль 1 63 2 11" xfId="7523"/>
    <cellStyle name="Стиль 1 63 2 12" xfId="7524"/>
    <cellStyle name="Стиль 1 63 2 13" xfId="7525"/>
    <cellStyle name="Стиль 1 63 2 14" xfId="7526"/>
    <cellStyle name="Стиль 1 63 2 15" xfId="7527"/>
    <cellStyle name="Стиль 1 63 2 16" xfId="7528"/>
    <cellStyle name="Стиль 1 63 2 17" xfId="7529"/>
    <cellStyle name="Стиль 1 63 2 18" xfId="7530"/>
    <cellStyle name="Стиль 1 63 2 19" xfId="7531"/>
    <cellStyle name="Стиль 1 63 2 2" xfId="7532"/>
    <cellStyle name="Стиль 1 63 2 2 10" xfId="7533"/>
    <cellStyle name="Стиль 1 63 2 2 11" xfId="7534"/>
    <cellStyle name="Стиль 1 63 2 2 12" xfId="7535"/>
    <cellStyle name="Стиль 1 63 2 2 13" xfId="7536"/>
    <cellStyle name="Стиль 1 63 2 2 14" xfId="7537"/>
    <cellStyle name="Стиль 1 63 2 2 15" xfId="7538"/>
    <cellStyle name="Стиль 1 63 2 2 16" xfId="7539"/>
    <cellStyle name="Стиль 1 63 2 2 17" xfId="7540"/>
    <cellStyle name="Стиль 1 63 2 2 18" xfId="7541"/>
    <cellStyle name="Стиль 1 63 2 2 19" xfId="7542"/>
    <cellStyle name="Стиль 1 63 2 2 2" xfId="7543"/>
    <cellStyle name="Стиль 1 63 2 2 2 10" xfId="7544"/>
    <cellStyle name="Стиль 1 63 2 2 2 11" xfId="7545"/>
    <cellStyle name="Стиль 1 63 2 2 2 12" xfId="7546"/>
    <cellStyle name="Стиль 1 63 2 2 2 13" xfId="7547"/>
    <cellStyle name="Стиль 1 63 2 2 2 14" xfId="7548"/>
    <cellStyle name="Стиль 1 63 2 2 2 15" xfId="7549"/>
    <cellStyle name="Стиль 1 63 2 2 2 16" xfId="7550"/>
    <cellStyle name="Стиль 1 63 2 2 2 17" xfId="7551"/>
    <cellStyle name="Стиль 1 63 2 2 2 18" xfId="7552"/>
    <cellStyle name="Стиль 1 63 2 2 2 2" xfId="7553"/>
    <cellStyle name="Стиль 1 63 2 2 2 3" xfId="7554"/>
    <cellStyle name="Стиль 1 63 2 2 2 4" xfId="7555"/>
    <cellStyle name="Стиль 1 63 2 2 2 5" xfId="7556"/>
    <cellStyle name="Стиль 1 63 2 2 2 6" xfId="7557"/>
    <cellStyle name="Стиль 1 63 2 2 2 7" xfId="7558"/>
    <cellStyle name="Стиль 1 63 2 2 2 8" xfId="7559"/>
    <cellStyle name="Стиль 1 63 2 2 2 9" xfId="7560"/>
    <cellStyle name="Стиль 1 63 2 2 20" xfId="7561"/>
    <cellStyle name="Стиль 1 63 2 2 21" xfId="7562"/>
    <cellStyle name="Стиль 1 63 2 2 22" xfId="7563"/>
    <cellStyle name="Стиль 1 63 2 2 23" xfId="7564"/>
    <cellStyle name="Стиль 1 63 2 2 24" xfId="7565"/>
    <cellStyle name="Стиль 1 63 2 2 3" xfId="7566"/>
    <cellStyle name="Стиль 1 63 2 2 4" xfId="7567"/>
    <cellStyle name="Стиль 1 63 2 2 5" xfId="7568"/>
    <cellStyle name="Стиль 1 63 2 2 6" xfId="7569"/>
    <cellStyle name="Стиль 1 63 2 2 7" xfId="7570"/>
    <cellStyle name="Стиль 1 63 2 2 8" xfId="7571"/>
    <cellStyle name="Стиль 1 63 2 2 9" xfId="7572"/>
    <cellStyle name="Стиль 1 63 2 20" xfId="7573"/>
    <cellStyle name="Стиль 1 63 2 21" xfId="7574"/>
    <cellStyle name="Стиль 1 63 2 22" xfId="7575"/>
    <cellStyle name="Стиль 1 63 2 23" xfId="7576"/>
    <cellStyle name="Стиль 1 63 2 24" xfId="7577"/>
    <cellStyle name="Стиль 1 63 2 25" xfId="7578"/>
    <cellStyle name="Стиль 1 63 2 3" xfId="7579"/>
    <cellStyle name="Стиль 1 63 2 4" xfId="7580"/>
    <cellStyle name="Стиль 1 63 2 4 10" xfId="7581"/>
    <cellStyle name="Стиль 1 63 2 4 11" xfId="7582"/>
    <cellStyle name="Стиль 1 63 2 4 12" xfId="7583"/>
    <cellStyle name="Стиль 1 63 2 4 13" xfId="7584"/>
    <cellStyle name="Стиль 1 63 2 4 14" xfId="7585"/>
    <cellStyle name="Стиль 1 63 2 4 15" xfId="7586"/>
    <cellStyle name="Стиль 1 63 2 4 16" xfId="7587"/>
    <cellStyle name="Стиль 1 63 2 4 17" xfId="7588"/>
    <cellStyle name="Стиль 1 63 2 4 18" xfId="7589"/>
    <cellStyle name="Стиль 1 63 2 4 2" xfId="7590"/>
    <cellStyle name="Стиль 1 63 2 4 3" xfId="7591"/>
    <cellStyle name="Стиль 1 63 2 4 4" xfId="7592"/>
    <cellStyle name="Стиль 1 63 2 4 5" xfId="7593"/>
    <cellStyle name="Стиль 1 63 2 4 6" xfId="7594"/>
    <cellStyle name="Стиль 1 63 2 4 7" xfId="7595"/>
    <cellStyle name="Стиль 1 63 2 4 8" xfId="7596"/>
    <cellStyle name="Стиль 1 63 2 4 9" xfId="7597"/>
    <cellStyle name="Стиль 1 63 2 5" xfId="7598"/>
    <cellStyle name="Стиль 1 63 2 6" xfId="7599"/>
    <cellStyle name="Стиль 1 63 2 7" xfId="7600"/>
    <cellStyle name="Стиль 1 63 2 8" xfId="7601"/>
    <cellStyle name="Стиль 1 63 2 9" xfId="7602"/>
    <cellStyle name="Стиль 1 63 20" xfId="7603"/>
    <cellStyle name="Стиль 1 63 21" xfId="7604"/>
    <cellStyle name="Стиль 1 63 22" xfId="7605"/>
    <cellStyle name="Стиль 1 63 23" xfId="7606"/>
    <cellStyle name="Стиль 1 63 24" xfId="7607"/>
    <cellStyle name="Стиль 1 63 25" xfId="7608"/>
    <cellStyle name="Стиль 1 63 3" xfId="7609"/>
    <cellStyle name="Стиль 1 63 3 10" xfId="7610"/>
    <cellStyle name="Стиль 1 63 3 11" xfId="7611"/>
    <cellStyle name="Стиль 1 63 3 12" xfId="7612"/>
    <cellStyle name="Стиль 1 63 3 13" xfId="7613"/>
    <cellStyle name="Стиль 1 63 3 14" xfId="7614"/>
    <cellStyle name="Стиль 1 63 3 15" xfId="7615"/>
    <cellStyle name="Стиль 1 63 3 16" xfId="7616"/>
    <cellStyle name="Стиль 1 63 3 17" xfId="7617"/>
    <cellStyle name="Стиль 1 63 3 18" xfId="7618"/>
    <cellStyle name="Стиль 1 63 3 19" xfId="7619"/>
    <cellStyle name="Стиль 1 63 3 2" xfId="7620"/>
    <cellStyle name="Стиль 1 63 3 2 10" xfId="7621"/>
    <cellStyle name="Стиль 1 63 3 2 11" xfId="7622"/>
    <cellStyle name="Стиль 1 63 3 2 12" xfId="7623"/>
    <cellStyle name="Стиль 1 63 3 2 13" xfId="7624"/>
    <cellStyle name="Стиль 1 63 3 2 14" xfId="7625"/>
    <cellStyle name="Стиль 1 63 3 2 15" xfId="7626"/>
    <cellStyle name="Стиль 1 63 3 2 16" xfId="7627"/>
    <cellStyle name="Стиль 1 63 3 2 17" xfId="7628"/>
    <cellStyle name="Стиль 1 63 3 2 18" xfId="7629"/>
    <cellStyle name="Стиль 1 63 3 2 2" xfId="7630"/>
    <cellStyle name="Стиль 1 63 3 2 3" xfId="7631"/>
    <cellStyle name="Стиль 1 63 3 2 4" xfId="7632"/>
    <cellStyle name="Стиль 1 63 3 2 5" xfId="7633"/>
    <cellStyle name="Стиль 1 63 3 2 6" xfId="7634"/>
    <cellStyle name="Стиль 1 63 3 2 7" xfId="7635"/>
    <cellStyle name="Стиль 1 63 3 2 8" xfId="7636"/>
    <cellStyle name="Стиль 1 63 3 2 9" xfId="7637"/>
    <cellStyle name="Стиль 1 63 3 20" xfId="7638"/>
    <cellStyle name="Стиль 1 63 3 21" xfId="7639"/>
    <cellStyle name="Стиль 1 63 3 22" xfId="7640"/>
    <cellStyle name="Стиль 1 63 3 23" xfId="7641"/>
    <cellStyle name="Стиль 1 63 3 24" xfId="7642"/>
    <cellStyle name="Стиль 1 63 3 3" xfId="7643"/>
    <cellStyle name="Стиль 1 63 3 4" xfId="7644"/>
    <cellStyle name="Стиль 1 63 3 5" xfId="7645"/>
    <cellStyle name="Стиль 1 63 3 6" xfId="7646"/>
    <cellStyle name="Стиль 1 63 3 7" xfId="7647"/>
    <cellStyle name="Стиль 1 63 3 8" xfId="7648"/>
    <cellStyle name="Стиль 1 63 3 9" xfId="7649"/>
    <cellStyle name="Стиль 1 63 4" xfId="7650"/>
    <cellStyle name="Стиль 1 63 4 10" xfId="7651"/>
    <cellStyle name="Стиль 1 63 4 11" xfId="7652"/>
    <cellStyle name="Стиль 1 63 4 12" xfId="7653"/>
    <cellStyle name="Стиль 1 63 4 13" xfId="7654"/>
    <cellStyle name="Стиль 1 63 4 14" xfId="7655"/>
    <cellStyle name="Стиль 1 63 4 15" xfId="7656"/>
    <cellStyle name="Стиль 1 63 4 16" xfId="7657"/>
    <cellStyle name="Стиль 1 63 4 17" xfId="7658"/>
    <cellStyle name="Стиль 1 63 4 18" xfId="7659"/>
    <cellStyle name="Стиль 1 63 4 2" xfId="7660"/>
    <cellStyle name="Стиль 1 63 4 3" xfId="7661"/>
    <cellStyle name="Стиль 1 63 4 4" xfId="7662"/>
    <cellStyle name="Стиль 1 63 4 5" xfId="7663"/>
    <cellStyle name="Стиль 1 63 4 6" xfId="7664"/>
    <cellStyle name="Стиль 1 63 4 7" xfId="7665"/>
    <cellStyle name="Стиль 1 63 4 8" xfId="7666"/>
    <cellStyle name="Стиль 1 63 4 9" xfId="7667"/>
    <cellStyle name="Стиль 1 63 5" xfId="7668"/>
    <cellStyle name="Стиль 1 63 6" xfId="7669"/>
    <cellStyle name="Стиль 1 63 7" xfId="7670"/>
    <cellStyle name="Стиль 1 63 8" xfId="7671"/>
    <cellStyle name="Стиль 1 63 9" xfId="7672"/>
    <cellStyle name="Стиль 1 64" xfId="7673"/>
    <cellStyle name="Стиль 1 64 10" xfId="7674"/>
    <cellStyle name="Стиль 1 64 11" xfId="7675"/>
    <cellStyle name="Стиль 1 64 12" xfId="7676"/>
    <cellStyle name="Стиль 1 64 13" xfId="7677"/>
    <cellStyle name="Стиль 1 64 14" xfId="7678"/>
    <cellStyle name="Стиль 1 64 15" xfId="7679"/>
    <cellStyle name="Стиль 1 64 16" xfId="7680"/>
    <cellStyle name="Стиль 1 64 17" xfId="7681"/>
    <cellStyle name="Стиль 1 64 18" xfId="7682"/>
    <cellStyle name="Стиль 1 64 19" xfId="7683"/>
    <cellStyle name="Стиль 1 64 2" xfId="7684"/>
    <cellStyle name="Стиль 1 64 2 10" xfId="7685"/>
    <cellStyle name="Стиль 1 64 2 11" xfId="7686"/>
    <cellStyle name="Стиль 1 64 2 12" xfId="7687"/>
    <cellStyle name="Стиль 1 64 2 13" xfId="7688"/>
    <cellStyle name="Стиль 1 64 2 14" xfId="7689"/>
    <cellStyle name="Стиль 1 64 2 15" xfId="7690"/>
    <cellStyle name="Стиль 1 64 2 16" xfId="7691"/>
    <cellStyle name="Стиль 1 64 2 17" xfId="7692"/>
    <cellStyle name="Стиль 1 64 2 18" xfId="7693"/>
    <cellStyle name="Стиль 1 64 2 19" xfId="7694"/>
    <cellStyle name="Стиль 1 64 2 2" xfId="7695"/>
    <cellStyle name="Стиль 1 64 2 2 10" xfId="7696"/>
    <cellStyle name="Стиль 1 64 2 2 11" xfId="7697"/>
    <cellStyle name="Стиль 1 64 2 2 12" xfId="7698"/>
    <cellStyle name="Стиль 1 64 2 2 13" xfId="7699"/>
    <cellStyle name="Стиль 1 64 2 2 14" xfId="7700"/>
    <cellStyle name="Стиль 1 64 2 2 15" xfId="7701"/>
    <cellStyle name="Стиль 1 64 2 2 16" xfId="7702"/>
    <cellStyle name="Стиль 1 64 2 2 17" xfId="7703"/>
    <cellStyle name="Стиль 1 64 2 2 18" xfId="7704"/>
    <cellStyle name="Стиль 1 64 2 2 19" xfId="7705"/>
    <cellStyle name="Стиль 1 64 2 2 2" xfId="7706"/>
    <cellStyle name="Стиль 1 64 2 2 2 10" xfId="7707"/>
    <cellStyle name="Стиль 1 64 2 2 2 11" xfId="7708"/>
    <cellStyle name="Стиль 1 64 2 2 2 12" xfId="7709"/>
    <cellStyle name="Стиль 1 64 2 2 2 13" xfId="7710"/>
    <cellStyle name="Стиль 1 64 2 2 2 14" xfId="7711"/>
    <cellStyle name="Стиль 1 64 2 2 2 15" xfId="7712"/>
    <cellStyle name="Стиль 1 64 2 2 2 16" xfId="7713"/>
    <cellStyle name="Стиль 1 64 2 2 2 17" xfId="7714"/>
    <cellStyle name="Стиль 1 64 2 2 2 18" xfId="7715"/>
    <cellStyle name="Стиль 1 64 2 2 2 2" xfId="7716"/>
    <cellStyle name="Стиль 1 64 2 2 2 3" xfId="7717"/>
    <cellStyle name="Стиль 1 64 2 2 2 4" xfId="7718"/>
    <cellStyle name="Стиль 1 64 2 2 2 5" xfId="7719"/>
    <cellStyle name="Стиль 1 64 2 2 2 6" xfId="7720"/>
    <cellStyle name="Стиль 1 64 2 2 2 7" xfId="7721"/>
    <cellStyle name="Стиль 1 64 2 2 2 8" xfId="7722"/>
    <cellStyle name="Стиль 1 64 2 2 2 9" xfId="7723"/>
    <cellStyle name="Стиль 1 64 2 2 20" xfId="7724"/>
    <cellStyle name="Стиль 1 64 2 2 21" xfId="7725"/>
    <cellStyle name="Стиль 1 64 2 2 22" xfId="7726"/>
    <cellStyle name="Стиль 1 64 2 2 23" xfId="7727"/>
    <cellStyle name="Стиль 1 64 2 2 24" xfId="7728"/>
    <cellStyle name="Стиль 1 64 2 2 3" xfId="7729"/>
    <cellStyle name="Стиль 1 64 2 2 4" xfId="7730"/>
    <cellStyle name="Стиль 1 64 2 2 5" xfId="7731"/>
    <cellStyle name="Стиль 1 64 2 2 6" xfId="7732"/>
    <cellStyle name="Стиль 1 64 2 2 7" xfId="7733"/>
    <cellStyle name="Стиль 1 64 2 2 8" xfId="7734"/>
    <cellStyle name="Стиль 1 64 2 2 9" xfId="7735"/>
    <cellStyle name="Стиль 1 64 2 20" xfId="7736"/>
    <cellStyle name="Стиль 1 64 2 21" xfId="7737"/>
    <cellStyle name="Стиль 1 64 2 22" xfId="7738"/>
    <cellStyle name="Стиль 1 64 2 23" xfId="7739"/>
    <cellStyle name="Стиль 1 64 2 24" xfId="7740"/>
    <cellStyle name="Стиль 1 64 2 25" xfId="7741"/>
    <cellStyle name="Стиль 1 64 2 3" xfId="7742"/>
    <cellStyle name="Стиль 1 64 2 4" xfId="7743"/>
    <cellStyle name="Стиль 1 64 2 4 10" xfId="7744"/>
    <cellStyle name="Стиль 1 64 2 4 11" xfId="7745"/>
    <cellStyle name="Стиль 1 64 2 4 12" xfId="7746"/>
    <cellStyle name="Стиль 1 64 2 4 13" xfId="7747"/>
    <cellStyle name="Стиль 1 64 2 4 14" xfId="7748"/>
    <cellStyle name="Стиль 1 64 2 4 15" xfId="7749"/>
    <cellStyle name="Стиль 1 64 2 4 16" xfId="7750"/>
    <cellStyle name="Стиль 1 64 2 4 17" xfId="7751"/>
    <cellStyle name="Стиль 1 64 2 4 18" xfId="7752"/>
    <cellStyle name="Стиль 1 64 2 4 2" xfId="7753"/>
    <cellStyle name="Стиль 1 64 2 4 3" xfId="7754"/>
    <cellStyle name="Стиль 1 64 2 4 4" xfId="7755"/>
    <cellStyle name="Стиль 1 64 2 4 5" xfId="7756"/>
    <cellStyle name="Стиль 1 64 2 4 6" xfId="7757"/>
    <cellStyle name="Стиль 1 64 2 4 7" xfId="7758"/>
    <cellStyle name="Стиль 1 64 2 4 8" xfId="7759"/>
    <cellStyle name="Стиль 1 64 2 4 9" xfId="7760"/>
    <cellStyle name="Стиль 1 64 2 5" xfId="7761"/>
    <cellStyle name="Стиль 1 64 2 6" xfId="7762"/>
    <cellStyle name="Стиль 1 64 2 7" xfId="7763"/>
    <cellStyle name="Стиль 1 64 2 8" xfId="7764"/>
    <cellStyle name="Стиль 1 64 2 9" xfId="7765"/>
    <cellStyle name="Стиль 1 64 20" xfId="7766"/>
    <cellStyle name="Стиль 1 64 21" xfId="7767"/>
    <cellStyle name="Стиль 1 64 22" xfId="7768"/>
    <cellStyle name="Стиль 1 64 23" xfId="7769"/>
    <cellStyle name="Стиль 1 64 24" xfId="7770"/>
    <cellStyle name="Стиль 1 64 25" xfId="7771"/>
    <cellStyle name="Стиль 1 64 3" xfId="7772"/>
    <cellStyle name="Стиль 1 64 3 10" xfId="7773"/>
    <cellStyle name="Стиль 1 64 3 11" xfId="7774"/>
    <cellStyle name="Стиль 1 64 3 12" xfId="7775"/>
    <cellStyle name="Стиль 1 64 3 13" xfId="7776"/>
    <cellStyle name="Стиль 1 64 3 14" xfId="7777"/>
    <cellStyle name="Стиль 1 64 3 15" xfId="7778"/>
    <cellStyle name="Стиль 1 64 3 16" xfId="7779"/>
    <cellStyle name="Стиль 1 64 3 17" xfId="7780"/>
    <cellStyle name="Стиль 1 64 3 18" xfId="7781"/>
    <cellStyle name="Стиль 1 64 3 19" xfId="7782"/>
    <cellStyle name="Стиль 1 64 3 2" xfId="7783"/>
    <cellStyle name="Стиль 1 64 3 2 10" xfId="7784"/>
    <cellStyle name="Стиль 1 64 3 2 11" xfId="7785"/>
    <cellStyle name="Стиль 1 64 3 2 12" xfId="7786"/>
    <cellStyle name="Стиль 1 64 3 2 13" xfId="7787"/>
    <cellStyle name="Стиль 1 64 3 2 14" xfId="7788"/>
    <cellStyle name="Стиль 1 64 3 2 15" xfId="7789"/>
    <cellStyle name="Стиль 1 64 3 2 16" xfId="7790"/>
    <cellStyle name="Стиль 1 64 3 2 17" xfId="7791"/>
    <cellStyle name="Стиль 1 64 3 2 18" xfId="7792"/>
    <cellStyle name="Стиль 1 64 3 2 2" xfId="7793"/>
    <cellStyle name="Стиль 1 64 3 2 3" xfId="7794"/>
    <cellStyle name="Стиль 1 64 3 2 4" xfId="7795"/>
    <cellStyle name="Стиль 1 64 3 2 5" xfId="7796"/>
    <cellStyle name="Стиль 1 64 3 2 6" xfId="7797"/>
    <cellStyle name="Стиль 1 64 3 2 7" xfId="7798"/>
    <cellStyle name="Стиль 1 64 3 2 8" xfId="7799"/>
    <cellStyle name="Стиль 1 64 3 2 9" xfId="7800"/>
    <cellStyle name="Стиль 1 64 3 20" xfId="7801"/>
    <cellStyle name="Стиль 1 64 3 21" xfId="7802"/>
    <cellStyle name="Стиль 1 64 3 22" xfId="7803"/>
    <cellStyle name="Стиль 1 64 3 23" xfId="7804"/>
    <cellStyle name="Стиль 1 64 3 24" xfId="7805"/>
    <cellStyle name="Стиль 1 64 3 3" xfId="7806"/>
    <cellStyle name="Стиль 1 64 3 4" xfId="7807"/>
    <cellStyle name="Стиль 1 64 3 5" xfId="7808"/>
    <cellStyle name="Стиль 1 64 3 6" xfId="7809"/>
    <cellStyle name="Стиль 1 64 3 7" xfId="7810"/>
    <cellStyle name="Стиль 1 64 3 8" xfId="7811"/>
    <cellStyle name="Стиль 1 64 3 9" xfId="7812"/>
    <cellStyle name="Стиль 1 64 4" xfId="7813"/>
    <cellStyle name="Стиль 1 64 4 10" xfId="7814"/>
    <cellStyle name="Стиль 1 64 4 11" xfId="7815"/>
    <cellStyle name="Стиль 1 64 4 12" xfId="7816"/>
    <cellStyle name="Стиль 1 64 4 13" xfId="7817"/>
    <cellStyle name="Стиль 1 64 4 14" xfId="7818"/>
    <cellStyle name="Стиль 1 64 4 15" xfId="7819"/>
    <cellStyle name="Стиль 1 64 4 16" xfId="7820"/>
    <cellStyle name="Стиль 1 64 4 17" xfId="7821"/>
    <cellStyle name="Стиль 1 64 4 18" xfId="7822"/>
    <cellStyle name="Стиль 1 64 4 2" xfId="7823"/>
    <cellStyle name="Стиль 1 64 4 3" xfId="7824"/>
    <cellStyle name="Стиль 1 64 4 4" xfId="7825"/>
    <cellStyle name="Стиль 1 64 4 5" xfId="7826"/>
    <cellStyle name="Стиль 1 64 4 6" xfId="7827"/>
    <cellStyle name="Стиль 1 64 4 7" xfId="7828"/>
    <cellStyle name="Стиль 1 64 4 8" xfId="7829"/>
    <cellStyle name="Стиль 1 64 4 9" xfId="7830"/>
    <cellStyle name="Стиль 1 64 5" xfId="7831"/>
    <cellStyle name="Стиль 1 64 6" xfId="7832"/>
    <cellStyle name="Стиль 1 64 7" xfId="7833"/>
    <cellStyle name="Стиль 1 64 8" xfId="7834"/>
    <cellStyle name="Стиль 1 64 9" xfId="7835"/>
    <cellStyle name="Стиль 1 65" xfId="7836"/>
    <cellStyle name="Стиль 1 66" xfId="7837"/>
    <cellStyle name="Стиль 1 66 10" xfId="7838"/>
    <cellStyle name="Стиль 1 66 11" xfId="7839"/>
    <cellStyle name="Стиль 1 66 12" xfId="7840"/>
    <cellStyle name="Стиль 1 66 13" xfId="7841"/>
    <cellStyle name="Стиль 1 66 14" xfId="7842"/>
    <cellStyle name="Стиль 1 66 15" xfId="7843"/>
    <cellStyle name="Стиль 1 66 16" xfId="7844"/>
    <cellStyle name="Стиль 1 66 17" xfId="7845"/>
    <cellStyle name="Стиль 1 66 18" xfId="7846"/>
    <cellStyle name="Стиль 1 66 19" xfId="7847"/>
    <cellStyle name="Стиль 1 66 2" xfId="7848"/>
    <cellStyle name="Стиль 1 66 2 10" xfId="7849"/>
    <cellStyle name="Стиль 1 66 2 11" xfId="7850"/>
    <cellStyle name="Стиль 1 66 2 12" xfId="7851"/>
    <cellStyle name="Стиль 1 66 2 13" xfId="7852"/>
    <cellStyle name="Стиль 1 66 2 14" xfId="7853"/>
    <cellStyle name="Стиль 1 66 2 15" xfId="7854"/>
    <cellStyle name="Стиль 1 66 2 16" xfId="7855"/>
    <cellStyle name="Стиль 1 66 2 17" xfId="7856"/>
    <cellStyle name="Стиль 1 66 2 18" xfId="7857"/>
    <cellStyle name="Стиль 1 66 2 2" xfId="7858"/>
    <cellStyle name="Стиль 1 66 2 3" xfId="7859"/>
    <cellStyle name="Стиль 1 66 2 4" xfId="7860"/>
    <cellStyle name="Стиль 1 66 2 5" xfId="7861"/>
    <cellStyle name="Стиль 1 66 2 6" xfId="7862"/>
    <cellStyle name="Стиль 1 66 2 7" xfId="7863"/>
    <cellStyle name="Стиль 1 66 2 8" xfId="7864"/>
    <cellStyle name="Стиль 1 66 2 9" xfId="7865"/>
    <cellStyle name="Стиль 1 66 20" xfId="7866"/>
    <cellStyle name="Стиль 1 66 21" xfId="7867"/>
    <cellStyle name="Стиль 1 66 22" xfId="7868"/>
    <cellStyle name="Стиль 1 66 23" xfId="7869"/>
    <cellStyle name="Стиль 1 66 24" xfId="7870"/>
    <cellStyle name="Стиль 1 66 3" xfId="7871"/>
    <cellStyle name="Стиль 1 66 4" xfId="7872"/>
    <cellStyle name="Стиль 1 66 5" xfId="7873"/>
    <cellStyle name="Стиль 1 66 6" xfId="7874"/>
    <cellStyle name="Стиль 1 66 7" xfId="7875"/>
    <cellStyle name="Стиль 1 66 8" xfId="7876"/>
    <cellStyle name="Стиль 1 66 9" xfId="7877"/>
    <cellStyle name="Стиль 1 67" xfId="7878"/>
    <cellStyle name="Стиль 1 68" xfId="7879"/>
    <cellStyle name="Стиль 1 68 10" xfId="7880"/>
    <cellStyle name="Стиль 1 68 11" xfId="7881"/>
    <cellStyle name="Стиль 1 68 12" xfId="7882"/>
    <cellStyle name="Стиль 1 68 13" xfId="7883"/>
    <cellStyle name="Стиль 1 68 14" xfId="7884"/>
    <cellStyle name="Стиль 1 68 15" xfId="7885"/>
    <cellStyle name="Стиль 1 68 16" xfId="7886"/>
    <cellStyle name="Стиль 1 68 17" xfId="7887"/>
    <cellStyle name="Стиль 1 68 18" xfId="7888"/>
    <cellStyle name="Стиль 1 68 2" xfId="7889"/>
    <cellStyle name="Стиль 1 68 3" xfId="7890"/>
    <cellStyle name="Стиль 1 68 4" xfId="7891"/>
    <cellStyle name="Стиль 1 68 5" xfId="7892"/>
    <cellStyle name="Стиль 1 68 6" xfId="7893"/>
    <cellStyle name="Стиль 1 68 7" xfId="7894"/>
    <cellStyle name="Стиль 1 68 8" xfId="7895"/>
    <cellStyle name="Стиль 1 68 9" xfId="7896"/>
    <cellStyle name="Стиль 1 69" xfId="7897"/>
    <cellStyle name="Стиль 1 7" xfId="7898"/>
    <cellStyle name="Стиль 1 70" xfId="7899"/>
    <cellStyle name="Стиль 1 71" xfId="7900"/>
    <cellStyle name="Стиль 1 72" xfId="7901"/>
    <cellStyle name="Стиль 1 73" xfId="7902"/>
    <cellStyle name="Стиль 1 74" xfId="7903"/>
    <cellStyle name="Стиль 1 75" xfId="7904"/>
    <cellStyle name="Стиль 1 76" xfId="7905"/>
    <cellStyle name="Стиль 1 77" xfId="7906"/>
    <cellStyle name="Стиль 1 78" xfId="7907"/>
    <cellStyle name="Стиль 1 79" xfId="7908"/>
    <cellStyle name="Стиль 1 8" xfId="7909"/>
    <cellStyle name="Стиль 1 80" xfId="7910"/>
    <cellStyle name="Стиль 1 81" xfId="7911"/>
    <cellStyle name="Стиль 1 82" xfId="7912"/>
    <cellStyle name="Стиль 1 83" xfId="7913"/>
    <cellStyle name="Стиль 1 84" xfId="7914"/>
    <cellStyle name="Стиль 1 85" xfId="7915"/>
    <cellStyle name="Стиль 1 86" xfId="7916"/>
    <cellStyle name="Стиль 1 87" xfId="7917"/>
    <cellStyle name="Стиль 1 88" xfId="7918"/>
    <cellStyle name="Стиль 1 89" xfId="7919"/>
    <cellStyle name="Стиль 1 9" xfId="7920"/>
    <cellStyle name="Стиль 1 90" xfId="7921"/>
    <cellStyle name="Субсчет" xfId="7922"/>
    <cellStyle name="Счет" xfId="7923"/>
    <cellStyle name="Текст предупреждения 2" xfId="7924"/>
    <cellStyle name="Текст предупреждения 3" xfId="7925"/>
    <cellStyle name="Текст предупреждения 4" xfId="7926"/>
    <cellStyle name="Текст предупреждения 5" xfId="7927"/>
    <cellStyle name="Текст предупреждения 6" xfId="7928"/>
    <cellStyle name="Текст предупреждения 7" xfId="7929"/>
    <cellStyle name="Текст предупреждения 8" xfId="7930"/>
    <cellStyle name="Текст предупреждения 9" xfId="7931"/>
    <cellStyle name="Тысячи [0]_&quot;АПАТИТ&quot;" xfId="7932"/>
    <cellStyle name="Тысячи_&quot;АПАТИТ&quot;" xfId="7933"/>
    <cellStyle name="Финансовый" xfId="30" builtinId="3"/>
    <cellStyle name="Финансовый 2" xfId="7934"/>
    <cellStyle name="Финансовый 3" xfId="7935"/>
    <cellStyle name="Финансовый 4" xfId="7947"/>
    <cellStyle name="Финансовый 5" xfId="7952"/>
    <cellStyle name="Хороший 2" xfId="7936"/>
    <cellStyle name="Хороший 3" xfId="7937"/>
    <cellStyle name="Хороший 4" xfId="7938"/>
    <cellStyle name="Хороший 5" xfId="7939"/>
    <cellStyle name="Хороший 6" xfId="7940"/>
    <cellStyle name="Хороший 7" xfId="7941"/>
    <cellStyle name="Хороший 8" xfId="7942"/>
    <cellStyle name="Хороший 9" xfId="7943"/>
    <cellStyle name="ШАУ" xfId="7944"/>
  </cellStyles>
  <dxfs count="3">
    <dxf>
      <numFmt numFmtId="2" formatCode="0.00"/>
    </dxf>
    <dxf>
      <numFmt numFmtId="2" formatCode="0.00"/>
    </dxf>
    <dxf>
      <numFmt numFmtId="166"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alcChain" Target="calcChain.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02405949256337E-2"/>
          <c:y val="5.1400554097404488E-2"/>
          <c:w val="0.86753849518810155"/>
          <c:h val="0.8326195683872849"/>
        </c:manualLayout>
      </c:layout>
      <c:areaChart>
        <c:grouping val="standard"/>
        <c:varyColors val="0"/>
        <c:ser>
          <c:idx val="1"/>
          <c:order val="2"/>
          <c:tx>
            <c:strRef>
              <c:f>cover!$A$128</c:f>
              <c:strCache>
                <c:ptCount val="1"/>
                <c:pt idx="0">
                  <c:v>Mid Price</c:v>
                </c:pt>
              </c:strCache>
            </c:strRef>
          </c:tx>
          <c:spPr>
            <a:solidFill>
              <a:schemeClr val="bg2"/>
            </a:solidFill>
          </c:spPr>
          <c:cat>
            <c:numRef>
              <c:f>cover!$F$116:$Q$116</c:f>
              <c:numCache>
                <c:formatCode>0</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cover!$F$128:$Q$128</c:f>
              <c:numCache>
                <c:formatCode>General</c:formatCode>
                <c:ptCount val="12"/>
                <c:pt idx="0">
                  <c:v>21.7</c:v>
                </c:pt>
                <c:pt idx="1">
                  <c:v>30.81</c:v>
                </c:pt>
                <c:pt idx="2">
                  <c:v>44.93</c:v>
                </c:pt>
                <c:pt idx="3">
                  <c:v>42.31</c:v>
                </c:pt>
                <c:pt idx="4">
                  <c:v>37.6</c:v>
                </c:pt>
                <c:pt idx="5">
                  <c:v>32.700000000000003</c:v>
                </c:pt>
                <c:pt idx="6">
                  <c:v>42.5</c:v>
                </c:pt>
                <c:pt idx="7">
                  <c:v>53.27</c:v>
                </c:pt>
                <c:pt idx="8">
                  <c:v>57.46</c:v>
                </c:pt>
                <c:pt idx="9">
                  <c:v>57.46</c:v>
                </c:pt>
                <c:pt idx="10">
                  <c:v>57.46</c:v>
                </c:pt>
                <c:pt idx="11">
                  <c:v>57.46</c:v>
                </c:pt>
              </c:numCache>
            </c:numRef>
          </c:val>
        </c:ser>
        <c:dLbls>
          <c:showLegendKey val="0"/>
          <c:showVal val="0"/>
          <c:showCatName val="0"/>
          <c:showSerName val="0"/>
          <c:showPercent val="0"/>
          <c:showBubbleSize val="0"/>
        </c:dLbls>
        <c:axId val="640996176"/>
        <c:axId val="640995784"/>
      </c:areaChart>
      <c:lineChart>
        <c:grouping val="standard"/>
        <c:varyColors val="0"/>
        <c:ser>
          <c:idx val="0"/>
          <c:order val="0"/>
          <c:tx>
            <c:strRef>
              <c:f>cover!$A$130</c:f>
              <c:strCache>
                <c:ptCount val="1"/>
                <c:pt idx="0">
                  <c:v>FCFE YIELD, %</c:v>
                </c:pt>
              </c:strCache>
            </c:strRef>
          </c:tx>
          <c:dLbls>
            <c:numFmt formatCode="0%" sourceLinked="0"/>
            <c:spPr>
              <a:solidFill>
                <a:schemeClr val="accent1">
                  <a:lumMod val="20000"/>
                  <a:lumOff val="80000"/>
                </a:schemeClr>
              </a:solidFill>
            </c:spPr>
            <c:txPr>
              <a:bodyPr/>
              <a:lstStyle/>
              <a:p>
                <a:pPr>
                  <a:defRPr sz="800" b="1">
                    <a:solidFill>
                      <a:schemeClr val="tx2"/>
                    </a:solidFill>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cover!$F$116:$Q$116</c:f>
              <c:numCache>
                <c:formatCode>0</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cover!$F$130:$Q$130</c:f>
              <c:numCache>
                <c:formatCode>0.0%</c:formatCode>
                <c:ptCount val="12"/>
                <c:pt idx="0">
                  <c:v>0.21403847929842013</c:v>
                </c:pt>
                <c:pt idx="1">
                  <c:v>0.14309547904324438</c:v>
                </c:pt>
                <c:pt idx="2">
                  <c:v>0.20259537431818969</c:v>
                </c:pt>
                <c:pt idx="3">
                  <c:v>0.19926718129276355</c:v>
                </c:pt>
                <c:pt idx="4">
                  <c:v>0.16007994809351039</c:v>
                </c:pt>
                <c:pt idx="5">
                  <c:v>0.24252679720933715</c:v>
                </c:pt>
                <c:pt idx="6">
                  <c:v>0.28570428844365064</c:v>
                </c:pt>
                <c:pt idx="7">
                  <c:v>0.13029910339565057</c:v>
                </c:pt>
                <c:pt idx="8">
                  <c:v>0.15136682467700358</c:v>
                </c:pt>
                <c:pt idx="9">
                  <c:v>0.1985595392671354</c:v>
                </c:pt>
                <c:pt idx="10">
                  <c:v>0.20729379070528886</c:v>
                </c:pt>
                <c:pt idx="11">
                  <c:v>0.23611864409254893</c:v>
                </c:pt>
              </c:numCache>
            </c:numRef>
          </c:val>
          <c:smooth val="0"/>
        </c:ser>
        <c:ser>
          <c:idx val="2"/>
          <c:order val="1"/>
          <c:tx>
            <c:strRef>
              <c:f>cover!$A$132</c:f>
              <c:strCache>
                <c:ptCount val="1"/>
                <c:pt idx="0">
                  <c:v>COE, %</c:v>
                </c:pt>
              </c:strCache>
            </c:strRef>
          </c:tx>
          <c:spPr>
            <a:ln>
              <a:solidFill>
                <a:srgbClr val="C00000"/>
              </a:solidFill>
            </a:ln>
          </c:spPr>
          <c:marker>
            <c:spPr>
              <a:solidFill>
                <a:srgbClr val="C00000"/>
              </a:solidFill>
              <a:ln>
                <a:solidFill>
                  <a:srgbClr val="C00000"/>
                </a:solidFill>
              </a:ln>
            </c:spPr>
          </c:marker>
          <c:dLbls>
            <c:numFmt formatCode="0.0%" sourceLinked="0"/>
            <c:spPr>
              <a:solidFill>
                <a:schemeClr val="accent2">
                  <a:lumMod val="20000"/>
                  <a:lumOff val="80000"/>
                </a:schemeClr>
              </a:solidFill>
            </c:spPr>
            <c:txPr>
              <a:bodyPr/>
              <a:lstStyle/>
              <a:p>
                <a:pPr>
                  <a:defRPr sz="800" b="1">
                    <a:solidFill>
                      <a:schemeClr val="accent2">
                        <a:lumMod val="50000"/>
                      </a:schemeClr>
                    </a:solidFill>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cover!$F$116:$Q$116</c:f>
              <c:numCache>
                <c:formatCode>0</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cover!$F$132:$Q$132</c:f>
              <c:numCache>
                <c:formatCode>0.0%</c:formatCode>
                <c:ptCount val="12"/>
                <c:pt idx="0">
                  <c:v>0.13500000000000001</c:v>
                </c:pt>
                <c:pt idx="1">
                  <c:v>0.12292203663310025</c:v>
                </c:pt>
                <c:pt idx="2">
                  <c:v>0.13600736067035035</c:v>
                </c:pt>
                <c:pt idx="3">
                  <c:v>0.13236762445684813</c:v>
                </c:pt>
                <c:pt idx="4">
                  <c:v>0.13297312861390709</c:v>
                </c:pt>
                <c:pt idx="5">
                  <c:v>0.13468668262140809</c:v>
                </c:pt>
                <c:pt idx="6">
                  <c:v>0.12275060300380718</c:v>
                </c:pt>
                <c:pt idx="7">
                  <c:v>0.11608015953735798</c:v>
                </c:pt>
                <c:pt idx="8">
                  <c:v>0.11121718810353284</c:v>
                </c:pt>
                <c:pt idx="9">
                  <c:v>0.10733114261542671</c:v>
                </c:pt>
                <c:pt idx="10">
                  <c:v>0.10391916967074005</c:v>
                </c:pt>
                <c:pt idx="11">
                  <c:v>0.1009924068187155</c:v>
                </c:pt>
              </c:numCache>
            </c:numRef>
          </c:val>
          <c:smooth val="0"/>
        </c:ser>
        <c:dLbls>
          <c:dLblPos val="ctr"/>
          <c:showLegendKey val="0"/>
          <c:showVal val="1"/>
          <c:showCatName val="0"/>
          <c:showSerName val="0"/>
          <c:showPercent val="0"/>
          <c:showBubbleSize val="0"/>
        </c:dLbls>
        <c:marker val="1"/>
        <c:smooth val="0"/>
        <c:axId val="508237464"/>
        <c:axId val="577132616"/>
      </c:lineChart>
      <c:catAx>
        <c:axId val="508237464"/>
        <c:scaling>
          <c:orientation val="minMax"/>
        </c:scaling>
        <c:delete val="0"/>
        <c:axPos val="b"/>
        <c:numFmt formatCode="0" sourceLinked="1"/>
        <c:majorTickMark val="out"/>
        <c:minorTickMark val="none"/>
        <c:tickLblPos val="nextTo"/>
        <c:crossAx val="577132616"/>
        <c:crosses val="autoZero"/>
        <c:auto val="1"/>
        <c:lblAlgn val="ctr"/>
        <c:lblOffset val="100"/>
        <c:noMultiLvlLbl val="0"/>
      </c:catAx>
      <c:valAx>
        <c:axId val="577132616"/>
        <c:scaling>
          <c:orientation val="minMax"/>
          <c:max val="0.35000000000000003"/>
        </c:scaling>
        <c:delete val="0"/>
        <c:axPos val="l"/>
        <c:numFmt formatCode="0.00%" sourceLinked="0"/>
        <c:majorTickMark val="out"/>
        <c:minorTickMark val="none"/>
        <c:tickLblPos val="nextTo"/>
        <c:crossAx val="508237464"/>
        <c:crosses val="autoZero"/>
        <c:crossBetween val="between"/>
      </c:valAx>
      <c:valAx>
        <c:axId val="640995784"/>
        <c:scaling>
          <c:orientation val="minMax"/>
        </c:scaling>
        <c:delete val="0"/>
        <c:axPos val="r"/>
        <c:numFmt formatCode="General" sourceLinked="1"/>
        <c:majorTickMark val="out"/>
        <c:minorTickMark val="none"/>
        <c:tickLblPos val="nextTo"/>
        <c:crossAx val="640996176"/>
        <c:crosses val="max"/>
        <c:crossBetween val="between"/>
      </c:valAx>
      <c:catAx>
        <c:axId val="640996176"/>
        <c:scaling>
          <c:orientation val="minMax"/>
        </c:scaling>
        <c:delete val="1"/>
        <c:axPos val="b"/>
        <c:numFmt formatCode="0" sourceLinked="1"/>
        <c:majorTickMark val="out"/>
        <c:minorTickMark val="none"/>
        <c:tickLblPos val="nextTo"/>
        <c:crossAx val="640995784"/>
        <c:crosses val="autoZero"/>
        <c:auto val="1"/>
        <c:lblAlgn val="ctr"/>
        <c:lblOffset val="100"/>
        <c:noMultiLvlLbl val="0"/>
      </c:catAx>
    </c:plotArea>
    <c:legend>
      <c:legendPos val="r"/>
      <c:layout>
        <c:manualLayout>
          <c:xMode val="edge"/>
          <c:yMode val="edge"/>
          <c:x val="0.13887267570721248"/>
          <c:y val="6.5730645561887874E-2"/>
          <c:w val="0.11494036745406824"/>
          <c:h val="0.18499144128723041"/>
        </c:manualLayou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5397692425352565E-2"/>
          <c:y val="0.15318338865270278"/>
          <c:w val="0.85742982380609778"/>
          <c:h val="0.75561604583705677"/>
        </c:manualLayout>
      </c:layout>
      <c:scatterChart>
        <c:scatterStyle val="lineMarker"/>
        <c:varyColors val="0"/>
        <c:ser>
          <c:idx val="0"/>
          <c:order val="0"/>
          <c:tx>
            <c:strRef>
              <c:f>'model (2)'!$AA$179</c:f>
              <c:strCache>
                <c:ptCount val="1"/>
                <c:pt idx="0">
                  <c:v>Карбамид FOB Baltic Sea</c:v>
                </c:pt>
              </c:strCache>
            </c:strRef>
          </c:tx>
          <c:spPr>
            <a:ln w="28575">
              <a:noFill/>
            </a:ln>
          </c:spPr>
          <c:trendline>
            <c:trendlineType val="log"/>
            <c:dispRSqr val="1"/>
            <c:dispEq val="1"/>
            <c:trendlineLbl>
              <c:layout>
                <c:manualLayout>
                  <c:x val="7.5379629392603564E-2"/>
                  <c:y val="0.46903266733189553"/>
                </c:manualLayout>
              </c:layout>
              <c:numFmt formatCode="General" sourceLinked="0"/>
            </c:trendlineLbl>
          </c:trendline>
          <c:xVal>
            <c:strRef>
              <c:f>'model (2)'!$AA$183:$AA$1011</c:f>
              <c:strCache>
                <c:ptCount val="829"/>
                <c:pt idx="0">
                  <c:v>86</c:v>
                </c:pt>
                <c:pt idx="1">
                  <c:v>87</c:v>
                </c:pt>
                <c:pt idx="2">
                  <c:v>94</c:v>
                </c:pt>
                <c:pt idx="3">
                  <c:v>99</c:v>
                </c:pt>
                <c:pt idx="4">
                  <c:v>106</c:v>
                </c:pt>
                <c:pt idx="5">
                  <c:v>106</c:v>
                </c:pt>
                <c:pt idx="6">
                  <c:v>108</c:v>
                </c:pt>
                <c:pt idx="7">
                  <c:v>110</c:v>
                </c:pt>
                <c:pt idx="8">
                  <c:v>111</c:v>
                </c:pt>
                <c:pt idx="9">
                  <c:v>113</c:v>
                </c:pt>
                <c:pt idx="10">
                  <c:v>122</c:v>
                </c:pt>
                <c:pt idx="11">
                  <c:v>132</c:v>
                </c:pt>
                <c:pt idx="12">
                  <c:v>135</c:v>
                </c:pt>
                <c:pt idx="13">
                  <c:v>135</c:v>
                </c:pt>
                <c:pt idx="14">
                  <c:v>131</c:v>
                </c:pt>
                <c:pt idx="15">
                  <c:v>123</c:v>
                </c:pt>
                <c:pt idx="16">
                  <c:v>119</c:v>
                </c:pt>
                <c:pt idx="17">
                  <c:v>109</c:v>
                </c:pt>
                <c:pt idx="18">
                  <c:v>107</c:v>
                </c:pt>
                <c:pt idx="19">
                  <c:v>107</c:v>
                </c:pt>
                <c:pt idx="20">
                  <c:v>114</c:v>
                </c:pt>
                <c:pt idx="21">
                  <c:v>114</c:v>
                </c:pt>
                <c:pt idx="22">
                  <c:v>114</c:v>
                </c:pt>
                <c:pt idx="23">
                  <c:v>114</c:v>
                </c:pt>
                <c:pt idx="24">
                  <c:v>107</c:v>
                </c:pt>
                <c:pt idx="25">
                  <c:v>106</c:v>
                </c:pt>
                <c:pt idx="26">
                  <c:v>102</c:v>
                </c:pt>
                <c:pt idx="27">
                  <c:v>102</c:v>
                </c:pt>
                <c:pt idx="28">
                  <c:v>99</c:v>
                </c:pt>
                <c:pt idx="29">
                  <c:v>97</c:v>
                </c:pt>
                <c:pt idx="30">
                  <c:v>97</c:v>
                </c:pt>
                <c:pt idx="31">
                  <c:v>97</c:v>
                </c:pt>
                <c:pt idx="32">
                  <c:v>110</c:v>
                </c:pt>
                <c:pt idx="33">
                  <c:v>118</c:v>
                </c:pt>
                <c:pt idx="34">
                  <c:v>113</c:v>
                </c:pt>
                <c:pt idx="35">
                  <c:v>112</c:v>
                </c:pt>
                <c:pt idx="36">
                  <c:v>103</c:v>
                </c:pt>
                <c:pt idx="37">
                  <c:v>98</c:v>
                </c:pt>
                <c:pt idx="38">
                  <c:v>102</c:v>
                </c:pt>
                <c:pt idx="39">
                  <c:v>99</c:v>
                </c:pt>
                <c:pt idx="40">
                  <c:v>97</c:v>
                </c:pt>
                <c:pt idx="41">
                  <c:v>95</c:v>
                </c:pt>
                <c:pt idx="42">
                  <c:v>96</c:v>
                </c:pt>
                <c:pt idx="43">
                  <c:v>94</c:v>
                </c:pt>
                <c:pt idx="44">
                  <c:v>94</c:v>
                </c:pt>
                <c:pt idx="45">
                  <c:v>92</c:v>
                </c:pt>
                <c:pt idx="46">
                  <c:v>84</c:v>
                </c:pt>
                <c:pt idx="47">
                  <c:v>76</c:v>
                </c:pt>
                <c:pt idx="48">
                  <c:v>74</c:v>
                </c:pt>
                <c:pt idx="49">
                  <c:v>74</c:v>
                </c:pt>
                <c:pt idx="50">
                  <c:v>78</c:v>
                </c:pt>
                <c:pt idx="51">
                  <c:v>81</c:v>
                </c:pt>
                <c:pt idx="52">
                  <c:v>84</c:v>
                </c:pt>
                <c:pt idx="53">
                  <c:v>84</c:v>
                </c:pt>
                <c:pt idx="54">
                  <c:v>84</c:v>
                </c:pt>
                <c:pt idx="55">
                  <c:v>82</c:v>
                </c:pt>
                <c:pt idx="56">
                  <c:v>84</c:v>
                </c:pt>
                <c:pt idx="57">
                  <c:v>84</c:v>
                </c:pt>
                <c:pt idx="58">
                  <c:v>88</c:v>
                </c:pt>
                <c:pt idx="59">
                  <c:v>88</c:v>
                </c:pt>
                <c:pt idx="60">
                  <c:v>89</c:v>
                </c:pt>
                <c:pt idx="61">
                  <c:v>91</c:v>
                </c:pt>
                <c:pt idx="62">
                  <c:v>90</c:v>
                </c:pt>
                <c:pt idx="63">
                  <c:v>88</c:v>
                </c:pt>
                <c:pt idx="65">
                  <c:v>88</c:v>
                </c:pt>
                <c:pt idx="67">
                  <c:v>87</c:v>
                </c:pt>
                <c:pt idx="68">
                  <c:v>90</c:v>
                </c:pt>
                <c:pt idx="69">
                  <c:v>92</c:v>
                </c:pt>
                <c:pt idx="70">
                  <c:v>94</c:v>
                </c:pt>
                <c:pt idx="71">
                  <c:v>95</c:v>
                </c:pt>
                <c:pt idx="72">
                  <c:v>96</c:v>
                </c:pt>
                <c:pt idx="73">
                  <c:v>93</c:v>
                </c:pt>
                <c:pt idx="74">
                  <c:v>92</c:v>
                </c:pt>
                <c:pt idx="75">
                  <c:v>94</c:v>
                </c:pt>
                <c:pt idx="76">
                  <c:v>96</c:v>
                </c:pt>
                <c:pt idx="77">
                  <c:v>96</c:v>
                </c:pt>
                <c:pt idx="78">
                  <c:v>101</c:v>
                </c:pt>
                <c:pt idx="79">
                  <c:v>101</c:v>
                </c:pt>
                <c:pt idx="80">
                  <c:v>101</c:v>
                </c:pt>
                <c:pt idx="82">
                  <c:v>103</c:v>
                </c:pt>
                <c:pt idx="83">
                  <c:v>103</c:v>
                </c:pt>
                <c:pt idx="84">
                  <c:v>103</c:v>
                </c:pt>
                <c:pt idx="85">
                  <c:v>94</c:v>
                </c:pt>
                <c:pt idx="86">
                  <c:v>94</c:v>
                </c:pt>
                <c:pt idx="87">
                  <c:v>92</c:v>
                </c:pt>
                <c:pt idx="88">
                  <c:v>91</c:v>
                </c:pt>
                <c:pt idx="89">
                  <c:v>89</c:v>
                </c:pt>
                <c:pt idx="90">
                  <c:v>89</c:v>
                </c:pt>
                <c:pt idx="91">
                  <c:v>89</c:v>
                </c:pt>
                <c:pt idx="92">
                  <c:v>89</c:v>
                </c:pt>
                <c:pt idx="93">
                  <c:v>86</c:v>
                </c:pt>
                <c:pt idx="95">
                  <c:v>84</c:v>
                </c:pt>
                <c:pt idx="96">
                  <c:v>85</c:v>
                </c:pt>
                <c:pt idx="97">
                  <c:v>83</c:v>
                </c:pt>
                <c:pt idx="98">
                  <c:v>84</c:v>
                </c:pt>
                <c:pt idx="99">
                  <c:v>85</c:v>
                </c:pt>
                <c:pt idx="100">
                  <c:v>86</c:v>
                </c:pt>
                <c:pt idx="101">
                  <c:v>87</c:v>
                </c:pt>
                <c:pt idx="102">
                  <c:v>90</c:v>
                </c:pt>
                <c:pt idx="103">
                  <c:v>90</c:v>
                </c:pt>
                <c:pt idx="104">
                  <c:v>91</c:v>
                </c:pt>
                <c:pt idx="105">
                  <c:v>92</c:v>
                </c:pt>
                <c:pt idx="106">
                  <c:v>90</c:v>
                </c:pt>
                <c:pt idx="107">
                  <c:v>90</c:v>
                </c:pt>
                <c:pt idx="108">
                  <c:v>90</c:v>
                </c:pt>
                <c:pt idx="109">
                  <c:v>93</c:v>
                </c:pt>
                <c:pt idx="110">
                  <c:v>96</c:v>
                </c:pt>
                <c:pt idx="111">
                  <c:v>98</c:v>
                </c:pt>
                <c:pt idx="112">
                  <c:v>101</c:v>
                </c:pt>
                <c:pt idx="113">
                  <c:v>101</c:v>
                </c:pt>
                <c:pt idx="114">
                  <c:v>101</c:v>
                </c:pt>
                <c:pt idx="115">
                  <c:v>99</c:v>
                </c:pt>
                <c:pt idx="116">
                  <c:v>96</c:v>
                </c:pt>
                <c:pt idx="117">
                  <c:v>92</c:v>
                </c:pt>
                <c:pt idx="118">
                  <c:v>91</c:v>
                </c:pt>
                <c:pt idx="119">
                  <c:v>89</c:v>
                </c:pt>
                <c:pt idx="120">
                  <c:v>87</c:v>
                </c:pt>
                <c:pt idx="121">
                  <c:v>89</c:v>
                </c:pt>
                <c:pt idx="122">
                  <c:v>90</c:v>
                </c:pt>
                <c:pt idx="123">
                  <c:v>90</c:v>
                </c:pt>
                <c:pt idx="124">
                  <c:v>90</c:v>
                </c:pt>
                <c:pt idx="125">
                  <c:v>90</c:v>
                </c:pt>
                <c:pt idx="126">
                  <c:v>90</c:v>
                </c:pt>
                <c:pt idx="127">
                  <c:v>96</c:v>
                </c:pt>
                <c:pt idx="128">
                  <c:v>100</c:v>
                </c:pt>
                <c:pt idx="129">
                  <c:v>100</c:v>
                </c:pt>
                <c:pt idx="130">
                  <c:v>100</c:v>
                </c:pt>
                <c:pt idx="131">
                  <c:v>99</c:v>
                </c:pt>
                <c:pt idx="132">
                  <c:v>96</c:v>
                </c:pt>
                <c:pt idx="133">
                  <c:v>98</c:v>
                </c:pt>
                <c:pt idx="134">
                  <c:v>105</c:v>
                </c:pt>
                <c:pt idx="135">
                  <c:v>111</c:v>
                </c:pt>
                <c:pt idx="136">
                  <c:v>115</c:v>
                </c:pt>
                <c:pt idx="137">
                  <c:v>125</c:v>
                </c:pt>
                <c:pt idx="138">
                  <c:v>125</c:v>
                </c:pt>
                <c:pt idx="139">
                  <c:v>125</c:v>
                </c:pt>
                <c:pt idx="140">
                  <c:v>128</c:v>
                </c:pt>
                <c:pt idx="141">
                  <c:v>128</c:v>
                </c:pt>
                <c:pt idx="142">
                  <c:v>134</c:v>
                </c:pt>
                <c:pt idx="143">
                  <c:v>134</c:v>
                </c:pt>
                <c:pt idx="144">
                  <c:v>134</c:v>
                </c:pt>
                <c:pt idx="145">
                  <c:v>125</c:v>
                </c:pt>
                <c:pt idx="146">
                  <c:v>118</c:v>
                </c:pt>
                <c:pt idx="147">
                  <c:v>113</c:v>
                </c:pt>
                <c:pt idx="148">
                  <c:v>111</c:v>
                </c:pt>
                <c:pt idx="149">
                  <c:v>114</c:v>
                </c:pt>
                <c:pt idx="150">
                  <c:v>119</c:v>
                </c:pt>
                <c:pt idx="151">
                  <c:v>124</c:v>
                </c:pt>
                <c:pt idx="152">
                  <c:v>129</c:v>
                </c:pt>
                <c:pt idx="153">
                  <c:v>129</c:v>
                </c:pt>
                <c:pt idx="154">
                  <c:v>132</c:v>
                </c:pt>
                <c:pt idx="155">
                  <c:v>130</c:v>
                </c:pt>
                <c:pt idx="156">
                  <c:v>129</c:v>
                </c:pt>
                <c:pt idx="157">
                  <c:v>132</c:v>
                </c:pt>
                <c:pt idx="158">
                  <c:v>139</c:v>
                </c:pt>
                <c:pt idx="159">
                  <c:v>141</c:v>
                </c:pt>
                <c:pt idx="160">
                  <c:v>142</c:v>
                </c:pt>
                <c:pt idx="161">
                  <c:v>140</c:v>
                </c:pt>
                <c:pt idx="162">
                  <c:v>136</c:v>
                </c:pt>
                <c:pt idx="163">
                  <c:v>130</c:v>
                </c:pt>
                <c:pt idx="164">
                  <c:v>140</c:v>
                </c:pt>
                <c:pt idx="165">
                  <c:v>145</c:v>
                </c:pt>
                <c:pt idx="166">
                  <c:v>150</c:v>
                </c:pt>
                <c:pt idx="167">
                  <c:v>149</c:v>
                </c:pt>
                <c:pt idx="168">
                  <c:v>144</c:v>
                </c:pt>
                <c:pt idx="169">
                  <c:v>144</c:v>
                </c:pt>
                <c:pt idx="170">
                  <c:v>149</c:v>
                </c:pt>
                <c:pt idx="171">
                  <c:v>152</c:v>
                </c:pt>
                <c:pt idx="172">
                  <c:v>153</c:v>
                </c:pt>
                <c:pt idx="173">
                  <c:v>153</c:v>
                </c:pt>
                <c:pt idx="174">
                  <c:v>151</c:v>
                </c:pt>
                <c:pt idx="175">
                  <c:v>148</c:v>
                </c:pt>
                <c:pt idx="176">
                  <c:v>146</c:v>
                </c:pt>
                <c:pt idx="177">
                  <c:v>150</c:v>
                </c:pt>
                <c:pt idx="178">
                  <c:v>154</c:v>
                </c:pt>
                <c:pt idx="179">
                  <c:v>151</c:v>
                </c:pt>
                <c:pt idx="180">
                  <c:v>156</c:v>
                </c:pt>
                <c:pt idx="181">
                  <c:v>157</c:v>
                </c:pt>
                <c:pt idx="182">
                  <c:v>159</c:v>
                </c:pt>
                <c:pt idx="183">
                  <c:v>157</c:v>
                </c:pt>
                <c:pt idx="184">
                  <c:v>157</c:v>
                </c:pt>
                <c:pt idx="185">
                  <c:v>157</c:v>
                </c:pt>
                <c:pt idx="186">
                  <c:v>153</c:v>
                </c:pt>
                <c:pt idx="187">
                  <c:v>149</c:v>
                </c:pt>
                <c:pt idx="188">
                  <c:v>142</c:v>
                </c:pt>
                <c:pt idx="189">
                  <c:v>128</c:v>
                </c:pt>
                <c:pt idx="190">
                  <c:v>120</c:v>
                </c:pt>
                <c:pt idx="191">
                  <c:v>124</c:v>
                </c:pt>
                <c:pt idx="192">
                  <c:v>126</c:v>
                </c:pt>
                <c:pt idx="193">
                  <c:v>125</c:v>
                </c:pt>
                <c:pt idx="194">
                  <c:v>127</c:v>
                </c:pt>
                <c:pt idx="195">
                  <c:v>130</c:v>
                </c:pt>
                <c:pt idx="196">
                  <c:v>125</c:v>
                </c:pt>
                <c:pt idx="197">
                  <c:v>128</c:v>
                </c:pt>
                <c:pt idx="198">
                  <c:v>131</c:v>
                </c:pt>
                <c:pt idx="199">
                  <c:v>129</c:v>
                </c:pt>
                <c:pt idx="200">
                  <c:v>127</c:v>
                </c:pt>
                <c:pt idx="201">
                  <c:v>132</c:v>
                </c:pt>
                <c:pt idx="202">
                  <c:v>129</c:v>
                </c:pt>
                <c:pt idx="203">
                  <c:v>137</c:v>
                </c:pt>
                <c:pt idx="204">
                  <c:v>141</c:v>
                </c:pt>
                <c:pt idx="205">
                  <c:v>146</c:v>
                </c:pt>
                <c:pt idx="206">
                  <c:v>161</c:v>
                </c:pt>
                <c:pt idx="207">
                  <c:v>163</c:v>
                </c:pt>
                <c:pt idx="208">
                  <c:v>166</c:v>
                </c:pt>
                <c:pt idx="209">
                  <c:v>176</c:v>
                </c:pt>
                <c:pt idx="210">
                  <c:v>187</c:v>
                </c:pt>
                <c:pt idx="211">
                  <c:v>200</c:v>
                </c:pt>
                <c:pt idx="212">
                  <c:v>209</c:v>
                </c:pt>
                <c:pt idx="213">
                  <c:v>213</c:v>
                </c:pt>
                <c:pt idx="214">
                  <c:v>210</c:v>
                </c:pt>
                <c:pt idx="215">
                  <c:v>205</c:v>
                </c:pt>
                <c:pt idx="216">
                  <c:v>191</c:v>
                </c:pt>
                <c:pt idx="217">
                  <c:v>204</c:v>
                </c:pt>
                <c:pt idx="218">
                  <c:v>213</c:v>
                </c:pt>
                <c:pt idx="219">
                  <c:v>214</c:v>
                </c:pt>
                <c:pt idx="220">
                  <c:v>216</c:v>
                </c:pt>
                <c:pt idx="221">
                  <c:v>220</c:v>
                </c:pt>
                <c:pt idx="222">
                  <c:v>236</c:v>
                </c:pt>
                <c:pt idx="223">
                  <c:v>240</c:v>
                </c:pt>
                <c:pt idx="224">
                  <c:v>240</c:v>
                </c:pt>
                <c:pt idx="225">
                  <c:v>234</c:v>
                </c:pt>
                <c:pt idx="226">
                  <c:v>230</c:v>
                </c:pt>
                <c:pt idx="227">
                  <c:v>213</c:v>
                </c:pt>
                <c:pt idx="228">
                  <c:v>196</c:v>
                </c:pt>
                <c:pt idx="229">
                  <c:v>212</c:v>
                </c:pt>
                <c:pt idx="230">
                  <c:v>193</c:v>
                </c:pt>
                <c:pt idx="231">
                  <c:v>188</c:v>
                </c:pt>
                <c:pt idx="232">
                  <c:v>180</c:v>
                </c:pt>
                <c:pt idx="233">
                  <c:v>177</c:v>
                </c:pt>
                <c:pt idx="234">
                  <c:v>175</c:v>
                </c:pt>
                <c:pt idx="235">
                  <c:v>188</c:v>
                </c:pt>
                <c:pt idx="236">
                  <c:v>194</c:v>
                </c:pt>
                <c:pt idx="237">
                  <c:v>184</c:v>
                </c:pt>
                <c:pt idx="238">
                  <c:v>175</c:v>
                </c:pt>
                <c:pt idx="239">
                  <c:v>172</c:v>
                </c:pt>
                <c:pt idx="240">
                  <c:v>170</c:v>
                </c:pt>
                <c:pt idx="241">
                  <c:v>182</c:v>
                </c:pt>
                <c:pt idx="242">
                  <c:v>192</c:v>
                </c:pt>
                <c:pt idx="243">
                  <c:v>198</c:v>
                </c:pt>
                <c:pt idx="244">
                  <c:v>201</c:v>
                </c:pt>
                <c:pt idx="245">
                  <c:v>215</c:v>
                </c:pt>
                <c:pt idx="246">
                  <c:v>215</c:v>
                </c:pt>
                <c:pt idx="247">
                  <c:v>223</c:v>
                </c:pt>
                <c:pt idx="248">
                  <c:v>229</c:v>
                </c:pt>
                <c:pt idx="249">
                  <c:v>239</c:v>
                </c:pt>
                <c:pt idx="250">
                  <c:v>248</c:v>
                </c:pt>
                <c:pt idx="251">
                  <c:v>235</c:v>
                </c:pt>
                <c:pt idx="252">
                  <c:v>258</c:v>
                </c:pt>
                <c:pt idx="253">
                  <c:v>255</c:v>
                </c:pt>
                <c:pt idx="254">
                  <c:v>255</c:v>
                </c:pt>
                <c:pt idx="255">
                  <c:v>240</c:v>
                </c:pt>
                <c:pt idx="256">
                  <c:v>225</c:v>
                </c:pt>
                <c:pt idx="257">
                  <c:v>203</c:v>
                </c:pt>
                <c:pt idx="258">
                  <c:v>207</c:v>
                </c:pt>
                <c:pt idx="259">
                  <c:v>220</c:v>
                </c:pt>
                <c:pt idx="260">
                  <c:v>220</c:v>
                </c:pt>
                <c:pt idx="261">
                  <c:v>213</c:v>
                </c:pt>
                <c:pt idx="262">
                  <c:v>206</c:v>
                </c:pt>
                <c:pt idx="263">
                  <c:v>200</c:v>
                </c:pt>
                <c:pt idx="264">
                  <c:v>200</c:v>
                </c:pt>
                <c:pt idx="265">
                  <c:v>201</c:v>
                </c:pt>
                <c:pt idx="266">
                  <c:v>205</c:v>
                </c:pt>
                <c:pt idx="267">
                  <c:v>202</c:v>
                </c:pt>
                <c:pt idx="268">
                  <c:v>210</c:v>
                </c:pt>
                <c:pt idx="269">
                  <c:v>204</c:v>
                </c:pt>
                <c:pt idx="270">
                  <c:v>204</c:v>
                </c:pt>
                <c:pt idx="271">
                  <c:v>202</c:v>
                </c:pt>
                <c:pt idx="272">
                  <c:v>204</c:v>
                </c:pt>
                <c:pt idx="273">
                  <c:v>211</c:v>
                </c:pt>
                <c:pt idx="274">
                  <c:v>212</c:v>
                </c:pt>
                <c:pt idx="275">
                  <c:v>213</c:v>
                </c:pt>
                <c:pt idx="276">
                  <c:v>221</c:v>
                </c:pt>
                <c:pt idx="277">
                  <c:v>224</c:v>
                </c:pt>
                <c:pt idx="278">
                  <c:v>220</c:v>
                </c:pt>
                <c:pt idx="279">
                  <c:v>217</c:v>
                </c:pt>
                <c:pt idx="280">
                  <c:v>212</c:v>
                </c:pt>
                <c:pt idx="281">
                  <c:v>208</c:v>
                </c:pt>
                <c:pt idx="282">
                  <c:v>198</c:v>
                </c:pt>
                <c:pt idx="283">
                  <c:v>195</c:v>
                </c:pt>
                <c:pt idx="284">
                  <c:v>205</c:v>
                </c:pt>
                <c:pt idx="285">
                  <c:v>199</c:v>
                </c:pt>
                <c:pt idx="286">
                  <c:v>196</c:v>
                </c:pt>
                <c:pt idx="287">
                  <c:v>189</c:v>
                </c:pt>
                <c:pt idx="288">
                  <c:v>197</c:v>
                </c:pt>
                <c:pt idx="289">
                  <c:v>205</c:v>
                </c:pt>
                <c:pt idx="290">
                  <c:v>211</c:v>
                </c:pt>
                <c:pt idx="291">
                  <c:v>208</c:v>
                </c:pt>
                <c:pt idx="292">
                  <c:v>215</c:v>
                </c:pt>
                <c:pt idx="293">
                  <c:v>228</c:v>
                </c:pt>
                <c:pt idx="294">
                  <c:v>233</c:v>
                </c:pt>
                <c:pt idx="295">
                  <c:v>245</c:v>
                </c:pt>
                <c:pt idx="296">
                  <c:v>245</c:v>
                </c:pt>
                <c:pt idx="297">
                  <c:v>240</c:v>
                </c:pt>
                <c:pt idx="298">
                  <c:v>245</c:v>
                </c:pt>
                <c:pt idx="299">
                  <c:v>240</c:v>
                </c:pt>
                <c:pt idx="300">
                  <c:v>240</c:v>
                </c:pt>
                <c:pt idx="301">
                  <c:v>240</c:v>
                </c:pt>
                <c:pt idx="302">
                  <c:v>235</c:v>
                </c:pt>
                <c:pt idx="303">
                  <c:v>230</c:v>
                </c:pt>
                <c:pt idx="304">
                  <c:v>223</c:v>
                </c:pt>
                <c:pt idx="305">
                  <c:v>212</c:v>
                </c:pt>
                <c:pt idx="306">
                  <c:v>212</c:v>
                </c:pt>
                <c:pt idx="307">
                  <c:v>198</c:v>
                </c:pt>
                <c:pt idx="308">
                  <c:v>198</c:v>
                </c:pt>
                <c:pt idx="309">
                  <c:v>201</c:v>
                </c:pt>
                <c:pt idx="310">
                  <c:v>201</c:v>
                </c:pt>
                <c:pt idx="311">
                  <c:v>200</c:v>
                </c:pt>
                <c:pt idx="312">
                  <c:v>200</c:v>
                </c:pt>
                <c:pt idx="313">
                  <c:v>195</c:v>
                </c:pt>
                <c:pt idx="314">
                  <c:v>205</c:v>
                </c:pt>
                <c:pt idx="315">
                  <c:v>208</c:v>
                </c:pt>
                <c:pt idx="316">
                  <c:v>212</c:v>
                </c:pt>
                <c:pt idx="317">
                  <c:v>214</c:v>
                </c:pt>
                <c:pt idx="318">
                  <c:v>212</c:v>
                </c:pt>
                <c:pt idx="319">
                  <c:v>208</c:v>
                </c:pt>
                <c:pt idx="320">
                  <c:v>205</c:v>
                </c:pt>
                <c:pt idx="321">
                  <c:v>209</c:v>
                </c:pt>
                <c:pt idx="322">
                  <c:v>204</c:v>
                </c:pt>
                <c:pt idx="323">
                  <c:v>196</c:v>
                </c:pt>
                <c:pt idx="324">
                  <c:v>203</c:v>
                </c:pt>
                <c:pt idx="325">
                  <c:v>206</c:v>
                </c:pt>
                <c:pt idx="326">
                  <c:v>207</c:v>
                </c:pt>
                <c:pt idx="327">
                  <c:v>209</c:v>
                </c:pt>
                <c:pt idx="328">
                  <c:v>218</c:v>
                </c:pt>
                <c:pt idx="329">
                  <c:v>228</c:v>
                </c:pt>
                <c:pt idx="330">
                  <c:v>240</c:v>
                </c:pt>
                <c:pt idx="331">
                  <c:v>245</c:v>
                </c:pt>
                <c:pt idx="332">
                  <c:v>248</c:v>
                </c:pt>
                <c:pt idx="333">
                  <c:v>246</c:v>
                </c:pt>
                <c:pt idx="334">
                  <c:v>250</c:v>
                </c:pt>
                <c:pt idx="335">
                  <c:v>251</c:v>
                </c:pt>
                <c:pt idx="336">
                  <c:v>252</c:v>
                </c:pt>
                <c:pt idx="337">
                  <c:v>266</c:v>
                </c:pt>
                <c:pt idx="338">
                  <c:v>272</c:v>
                </c:pt>
                <c:pt idx="339">
                  <c:v>275</c:v>
                </c:pt>
                <c:pt idx="340">
                  <c:v>282</c:v>
                </c:pt>
                <c:pt idx="341">
                  <c:v>293</c:v>
                </c:pt>
                <c:pt idx="342">
                  <c:v>301</c:v>
                </c:pt>
                <c:pt idx="343">
                  <c:v>307</c:v>
                </c:pt>
                <c:pt idx="344">
                  <c:v>310</c:v>
                </c:pt>
                <c:pt idx="345">
                  <c:v>312</c:v>
                </c:pt>
                <c:pt idx="346">
                  <c:v>308</c:v>
                </c:pt>
                <c:pt idx="347">
                  <c:v>298</c:v>
                </c:pt>
                <c:pt idx="348">
                  <c:v>293</c:v>
                </c:pt>
                <c:pt idx="349">
                  <c:v>280</c:v>
                </c:pt>
                <c:pt idx="350">
                  <c:v>281</c:v>
                </c:pt>
                <c:pt idx="351">
                  <c:v>286</c:v>
                </c:pt>
                <c:pt idx="352">
                  <c:v>296</c:v>
                </c:pt>
                <c:pt idx="353">
                  <c:v>288</c:v>
                </c:pt>
                <c:pt idx="354">
                  <c:v>289</c:v>
                </c:pt>
                <c:pt idx="355">
                  <c:v>284</c:v>
                </c:pt>
                <c:pt idx="356">
                  <c:v>285</c:v>
                </c:pt>
                <c:pt idx="357">
                  <c:v>283</c:v>
                </c:pt>
                <c:pt idx="358">
                  <c:v>273</c:v>
                </c:pt>
                <c:pt idx="359">
                  <c:v>272</c:v>
                </c:pt>
                <c:pt idx="360">
                  <c:v>272</c:v>
                </c:pt>
                <c:pt idx="361">
                  <c:v>268</c:v>
                </c:pt>
                <c:pt idx="362">
                  <c:v>263</c:v>
                </c:pt>
                <c:pt idx="363">
                  <c:v>257</c:v>
                </c:pt>
                <c:pt idx="364">
                  <c:v>252</c:v>
                </c:pt>
                <c:pt idx="365">
                  <c:v>246</c:v>
                </c:pt>
                <c:pt idx="366">
                  <c:v>253</c:v>
                </c:pt>
                <c:pt idx="367">
                  <c:v>277</c:v>
                </c:pt>
                <c:pt idx="368">
                  <c:v>298</c:v>
                </c:pt>
                <c:pt idx="369">
                  <c:v>303</c:v>
                </c:pt>
                <c:pt idx="370">
                  <c:v>307</c:v>
                </c:pt>
                <c:pt idx="371">
                  <c:v>306</c:v>
                </c:pt>
                <c:pt idx="372">
                  <c:v>314</c:v>
                </c:pt>
                <c:pt idx="373">
                  <c:v>319</c:v>
                </c:pt>
                <c:pt idx="374">
                  <c:v>325</c:v>
                </c:pt>
                <c:pt idx="375">
                  <c:v>329</c:v>
                </c:pt>
                <c:pt idx="376">
                  <c:v>328</c:v>
                </c:pt>
                <c:pt idx="377">
                  <c:v>347</c:v>
                </c:pt>
                <c:pt idx="378">
                  <c:v>353</c:v>
                </c:pt>
                <c:pt idx="379">
                  <c:v>360</c:v>
                </c:pt>
                <c:pt idx="380">
                  <c:v>385</c:v>
                </c:pt>
                <c:pt idx="381">
                  <c:v>390</c:v>
                </c:pt>
                <c:pt idx="382">
                  <c:v>391</c:v>
                </c:pt>
                <c:pt idx="383">
                  <c:v>384</c:v>
                </c:pt>
                <c:pt idx="384">
                  <c:v>380</c:v>
                </c:pt>
                <c:pt idx="385">
                  <c:v>378</c:v>
                </c:pt>
                <c:pt idx="386">
                  <c:v>378</c:v>
                </c:pt>
                <c:pt idx="387">
                  <c:v>370</c:v>
                </c:pt>
                <c:pt idx="388">
                  <c:v>360</c:v>
                </c:pt>
                <c:pt idx="389">
                  <c:v>340</c:v>
                </c:pt>
                <c:pt idx="390">
                  <c:v>323</c:v>
                </c:pt>
                <c:pt idx="391">
                  <c:v>328</c:v>
                </c:pt>
                <c:pt idx="392">
                  <c:v>324</c:v>
                </c:pt>
                <c:pt idx="393">
                  <c:v>315</c:v>
                </c:pt>
                <c:pt idx="394">
                  <c:v>330</c:v>
                </c:pt>
                <c:pt idx="395">
                  <c:v>365</c:v>
                </c:pt>
                <c:pt idx="396">
                  <c:v>393</c:v>
                </c:pt>
                <c:pt idx="397">
                  <c:v>382</c:v>
                </c:pt>
                <c:pt idx="398">
                  <c:v>385</c:v>
                </c:pt>
                <c:pt idx="399">
                  <c:v>408</c:v>
                </c:pt>
                <c:pt idx="400">
                  <c:v>478</c:v>
                </c:pt>
                <c:pt idx="401">
                  <c:v>530</c:v>
                </c:pt>
                <c:pt idx="402">
                  <c:v>585</c:v>
                </c:pt>
                <c:pt idx="403">
                  <c:v>592</c:v>
                </c:pt>
                <c:pt idx="404">
                  <c:v>613</c:v>
                </c:pt>
                <c:pt idx="405">
                  <c:v>620</c:v>
                </c:pt>
                <c:pt idx="406">
                  <c:v>250</c:v>
                </c:pt>
                <c:pt idx="407">
                  <c:v>239</c:v>
                </c:pt>
                <c:pt idx="408">
                  <c:v>240</c:v>
                </c:pt>
                <c:pt idx="409">
                  <c:v>237</c:v>
                </c:pt>
                <c:pt idx="410">
                  <c:v>231</c:v>
                </c:pt>
                <c:pt idx="411">
                  <c:v>226</c:v>
                </c:pt>
                <c:pt idx="412">
                  <c:v>215</c:v>
                </c:pt>
                <c:pt idx="413">
                  <c:v>220</c:v>
                </c:pt>
                <c:pt idx="414">
                  <c:v>273</c:v>
                </c:pt>
                <c:pt idx="415">
                  <c:v>280</c:v>
                </c:pt>
                <c:pt idx="416">
                  <c:v>260</c:v>
                </c:pt>
                <c:pt idx="417">
                  <c:v>263</c:v>
                </c:pt>
                <c:pt idx="418">
                  <c:v>273</c:v>
                </c:pt>
                <c:pt idx="419">
                  <c:v>275</c:v>
                </c:pt>
                <c:pt idx="420">
                  <c:v>278</c:v>
                </c:pt>
                <c:pt idx="421">
                  <c:v>275</c:v>
                </c:pt>
                <c:pt idx="422">
                  <c:v>273</c:v>
                </c:pt>
                <c:pt idx="423">
                  <c:v>258</c:v>
                </c:pt>
                <c:pt idx="424">
                  <c:v>249</c:v>
                </c:pt>
                <c:pt idx="425">
                  <c:v>248</c:v>
                </c:pt>
                <c:pt idx="426">
                  <c:v>246</c:v>
                </c:pt>
                <c:pt idx="427">
                  <c:v>238</c:v>
                </c:pt>
                <c:pt idx="428">
                  <c:v>236</c:v>
                </c:pt>
                <c:pt idx="429">
                  <c:v>241</c:v>
                </c:pt>
                <c:pt idx="430">
                  <c:v>242</c:v>
                </c:pt>
                <c:pt idx="431">
                  <c:v>242</c:v>
                </c:pt>
                <c:pt idx="432">
                  <c:v>233</c:v>
                </c:pt>
                <c:pt idx="433">
                  <c:v>234</c:v>
                </c:pt>
                <c:pt idx="434">
                  <c:v>236</c:v>
                </c:pt>
                <c:pt idx="435">
                  <c:v>234</c:v>
                </c:pt>
                <c:pt idx="436">
                  <c:v>234</c:v>
                </c:pt>
                <c:pt idx="437">
                  <c:v>236</c:v>
                </c:pt>
                <c:pt idx="438">
                  <c:v>236</c:v>
                </c:pt>
                <c:pt idx="439">
                  <c:v>238</c:v>
                </c:pt>
                <c:pt idx="440">
                  <c:v>243</c:v>
                </c:pt>
                <c:pt idx="441">
                  <c:v>254</c:v>
                </c:pt>
                <c:pt idx="442">
                  <c:v>253</c:v>
                </c:pt>
                <c:pt idx="443">
                  <c:v>252</c:v>
                </c:pt>
                <c:pt idx="444">
                  <c:v>246</c:v>
                </c:pt>
                <c:pt idx="445">
                  <c:v>246</c:v>
                </c:pt>
                <c:pt idx="446">
                  <c:v>233</c:v>
                </c:pt>
                <c:pt idx="447">
                  <c:v>235</c:v>
                </c:pt>
                <c:pt idx="448">
                  <c:v>234</c:v>
                </c:pt>
                <c:pt idx="449">
                  <c:v>234</c:v>
                </c:pt>
                <c:pt idx="450">
                  <c:v>229</c:v>
                </c:pt>
                <c:pt idx="451">
                  <c:v>233</c:v>
                </c:pt>
                <c:pt idx="452">
                  <c:v>233</c:v>
                </c:pt>
                <c:pt idx="453">
                  <c:v>232</c:v>
                </c:pt>
                <c:pt idx="454">
                  <c:v>232</c:v>
                </c:pt>
                <c:pt idx="455">
                  <c:v>231</c:v>
                </c:pt>
                <c:pt idx="456">
                  <c:v>229</c:v>
                </c:pt>
                <c:pt idx="457">
                  <c:v>231</c:v>
                </c:pt>
                <c:pt idx="458">
                  <c:v>242</c:v>
                </c:pt>
                <c:pt idx="459">
                  <c:v>253</c:v>
                </c:pt>
                <c:pt idx="460">
                  <c:v>253</c:v>
                </c:pt>
                <c:pt idx="461">
                  <c:v>250</c:v>
                </c:pt>
                <c:pt idx="462">
                  <c:v>253</c:v>
                </c:pt>
                <c:pt idx="463">
                  <c:v>259</c:v>
                </c:pt>
                <c:pt idx="464">
                  <c:v>260</c:v>
                </c:pt>
                <c:pt idx="465">
                  <c:v>272</c:v>
                </c:pt>
                <c:pt idx="466">
                  <c:v>279</c:v>
                </c:pt>
                <c:pt idx="467">
                  <c:v>287</c:v>
                </c:pt>
                <c:pt idx="468">
                  <c:v>287</c:v>
                </c:pt>
                <c:pt idx="469">
                  <c:v>280</c:v>
                </c:pt>
                <c:pt idx="470">
                  <c:v>274</c:v>
                </c:pt>
                <c:pt idx="471">
                  <c:v>271</c:v>
                </c:pt>
                <c:pt idx="472">
                  <c:v>274</c:v>
                </c:pt>
                <c:pt idx="473">
                  <c:v>274</c:v>
                </c:pt>
                <c:pt idx="474">
                  <c:v>269</c:v>
                </c:pt>
                <c:pt idx="475">
                  <c:v>262</c:v>
                </c:pt>
                <c:pt idx="476">
                  <c:v>252</c:v>
                </c:pt>
                <c:pt idx="477">
                  <c:v>244</c:v>
                </c:pt>
                <c:pt idx="478">
                  <c:v>243</c:v>
                </c:pt>
                <c:pt idx="479">
                  <c:v>236</c:v>
                </c:pt>
                <c:pt idx="480">
                  <c:v>232</c:v>
                </c:pt>
                <c:pt idx="481">
                  <c:v>232</c:v>
                </c:pt>
                <c:pt idx="482">
                  <c:v>223</c:v>
                </c:pt>
                <c:pt idx="483">
                  <c:v>219</c:v>
                </c:pt>
                <c:pt idx="484">
                  <c:v>220</c:v>
                </c:pt>
                <c:pt idx="485">
                  <c:v>224</c:v>
                </c:pt>
                <c:pt idx="486">
                  <c:v>234</c:v>
                </c:pt>
                <c:pt idx="487">
                  <c:v>235</c:v>
                </c:pt>
                <c:pt idx="488">
                  <c:v>241</c:v>
                </c:pt>
                <c:pt idx="489">
                  <c:v>247</c:v>
                </c:pt>
                <c:pt idx="490">
                  <c:v>245</c:v>
                </c:pt>
                <c:pt idx="491">
                  <c:v>243</c:v>
                </c:pt>
                <c:pt idx="492">
                  <c:v>248</c:v>
                </c:pt>
                <c:pt idx="493">
                  <c:v>265</c:v>
                </c:pt>
                <c:pt idx="494">
                  <c:v>280</c:v>
                </c:pt>
                <c:pt idx="495">
                  <c:v>274</c:v>
                </c:pt>
                <c:pt idx="496">
                  <c:v>274</c:v>
                </c:pt>
                <c:pt idx="497">
                  <c:v>290</c:v>
                </c:pt>
                <c:pt idx="498">
                  <c:v>315</c:v>
                </c:pt>
                <c:pt idx="499">
                  <c:v>338</c:v>
                </c:pt>
                <c:pt idx="500">
                  <c:v>328</c:v>
                </c:pt>
                <c:pt idx="501">
                  <c:v>329</c:v>
                </c:pt>
                <c:pt idx="502">
                  <c:v>324</c:v>
                </c:pt>
                <c:pt idx="503">
                  <c:v>324</c:v>
                </c:pt>
                <c:pt idx="504">
                  <c:v>337</c:v>
                </c:pt>
                <c:pt idx="505">
                  <c:v>338</c:v>
                </c:pt>
                <c:pt idx="506">
                  <c:v>348</c:v>
                </c:pt>
                <c:pt idx="507">
                  <c:v>363</c:v>
                </c:pt>
                <c:pt idx="508">
                  <c:v>373</c:v>
                </c:pt>
                <c:pt idx="509">
                  <c:v>368</c:v>
                </c:pt>
                <c:pt idx="510">
                  <c:v>363</c:v>
                </c:pt>
                <c:pt idx="511">
                  <c:v>358</c:v>
                </c:pt>
                <c:pt idx="512">
                  <c:v>363</c:v>
                </c:pt>
                <c:pt idx="513">
                  <c:v>364</c:v>
                </c:pt>
                <c:pt idx="514">
                  <c:v>360</c:v>
                </c:pt>
                <c:pt idx="515">
                  <c:v>366</c:v>
                </c:pt>
                <c:pt idx="516">
                  <c:v>364</c:v>
                </c:pt>
                <c:pt idx="517">
                  <c:v>359</c:v>
                </c:pt>
                <c:pt idx="518">
                  <c:v>359</c:v>
                </c:pt>
                <c:pt idx="519">
                  <c:v>358</c:v>
                </c:pt>
                <c:pt idx="520">
                  <c:v>351</c:v>
                </c:pt>
                <c:pt idx="521">
                  <c:v>335</c:v>
                </c:pt>
                <c:pt idx="522">
                  <c:v>325</c:v>
                </c:pt>
                <c:pt idx="523">
                  <c:v>313</c:v>
                </c:pt>
                <c:pt idx="524">
                  <c:v>310</c:v>
                </c:pt>
                <c:pt idx="525">
                  <c:v>303</c:v>
                </c:pt>
                <c:pt idx="526">
                  <c:v>311</c:v>
                </c:pt>
                <c:pt idx="527">
                  <c:v>333</c:v>
                </c:pt>
                <c:pt idx="528">
                  <c:v>343</c:v>
                </c:pt>
                <c:pt idx="529">
                  <c:v>348</c:v>
                </c:pt>
                <c:pt idx="530">
                  <c:v>365</c:v>
                </c:pt>
                <c:pt idx="531">
                  <c:v>370</c:v>
                </c:pt>
                <c:pt idx="532">
                  <c:v>405</c:v>
                </c:pt>
                <c:pt idx="533">
                  <c:v>413</c:v>
                </c:pt>
                <c:pt idx="534">
                  <c:v>426</c:v>
                </c:pt>
                <c:pt idx="535">
                  <c:v>461</c:v>
                </c:pt>
                <c:pt idx="536">
                  <c:v>485</c:v>
                </c:pt>
                <c:pt idx="537">
                  <c:v>508</c:v>
                </c:pt>
                <c:pt idx="538">
                  <c:v>495</c:v>
                </c:pt>
                <c:pt idx="539">
                  <c:v>465</c:v>
                </c:pt>
                <c:pt idx="540">
                  <c:v>445</c:v>
                </c:pt>
                <c:pt idx="541">
                  <c:v>465</c:v>
                </c:pt>
                <c:pt idx="542">
                  <c:v>465</c:v>
                </c:pt>
                <c:pt idx="543">
                  <c:v>475</c:v>
                </c:pt>
                <c:pt idx="544">
                  <c:v>465</c:v>
                </c:pt>
                <c:pt idx="545">
                  <c:v>470</c:v>
                </c:pt>
                <c:pt idx="546">
                  <c:v>475</c:v>
                </c:pt>
                <c:pt idx="547">
                  <c:v>487</c:v>
                </c:pt>
                <c:pt idx="548">
                  <c:v>493</c:v>
                </c:pt>
                <c:pt idx="549">
                  <c:v>502</c:v>
                </c:pt>
                <c:pt idx="550">
                  <c:v>503</c:v>
                </c:pt>
                <c:pt idx="551">
                  <c:v>500</c:v>
                </c:pt>
                <c:pt idx="552">
                  <c:v>470</c:v>
                </c:pt>
                <c:pt idx="553">
                  <c:v>473</c:v>
                </c:pt>
                <c:pt idx="554">
                  <c:v>482</c:v>
                </c:pt>
                <c:pt idx="555">
                  <c:v>484</c:v>
                </c:pt>
                <c:pt idx="556">
                  <c:v>477</c:v>
                </c:pt>
                <c:pt idx="557">
                  <c:v>468</c:v>
                </c:pt>
                <c:pt idx="558">
                  <c:v>463</c:v>
                </c:pt>
                <c:pt idx="559">
                  <c:v>460</c:v>
                </c:pt>
                <c:pt idx="560">
                  <c:v>400</c:v>
                </c:pt>
                <c:pt idx="561">
                  <c:v>365</c:v>
                </c:pt>
                <c:pt idx="562">
                  <c:v>334</c:v>
                </c:pt>
                <c:pt idx="563">
                  <c:v>308</c:v>
                </c:pt>
                <c:pt idx="564">
                  <c:v>315</c:v>
                </c:pt>
                <c:pt idx="565">
                  <c:v>330</c:v>
                </c:pt>
                <c:pt idx="566">
                  <c:v>368</c:v>
                </c:pt>
                <c:pt idx="567">
                  <c:v>363</c:v>
                </c:pt>
                <c:pt idx="568">
                  <c:v>360</c:v>
                </c:pt>
                <c:pt idx="569">
                  <c:v>364</c:v>
                </c:pt>
                <c:pt idx="570">
                  <c:v>360</c:v>
                </c:pt>
                <c:pt idx="571">
                  <c:v>370</c:v>
                </c:pt>
                <c:pt idx="572">
                  <c:v>378</c:v>
                </c:pt>
                <c:pt idx="573">
                  <c:v>388</c:v>
                </c:pt>
                <c:pt idx="574">
                  <c:v>390</c:v>
                </c:pt>
                <c:pt idx="575">
                  <c:v>393</c:v>
                </c:pt>
                <c:pt idx="576">
                  <c:v>425</c:v>
                </c:pt>
                <c:pt idx="577">
                  <c:v>443</c:v>
                </c:pt>
                <c:pt idx="578">
                  <c:v>450</c:v>
                </c:pt>
                <c:pt idx="579">
                  <c:v>494</c:v>
                </c:pt>
                <c:pt idx="580">
                  <c:v>509</c:v>
                </c:pt>
                <c:pt idx="581">
                  <c:v>509</c:v>
                </c:pt>
                <c:pt idx="582">
                  <c:v>516</c:v>
                </c:pt>
                <c:pt idx="583">
                  <c:v>528</c:v>
                </c:pt>
                <c:pt idx="584">
                  <c:v>485</c:v>
                </c:pt>
                <c:pt idx="585">
                  <c:v>475</c:v>
                </c:pt>
                <c:pt idx="586">
                  <c:v>455</c:v>
                </c:pt>
                <c:pt idx="587">
                  <c:v>443</c:v>
                </c:pt>
                <c:pt idx="588">
                  <c:v>435</c:v>
                </c:pt>
                <c:pt idx="589">
                  <c:v>400</c:v>
                </c:pt>
                <c:pt idx="590">
                  <c:v>368</c:v>
                </c:pt>
                <c:pt idx="591">
                  <c:v>358</c:v>
                </c:pt>
                <c:pt idx="592">
                  <c:v>403</c:v>
                </c:pt>
                <c:pt idx="593">
                  <c:v>380</c:v>
                </c:pt>
                <c:pt idx="594">
                  <c:v>380</c:v>
                </c:pt>
                <c:pt idx="595">
                  <c:v>382</c:v>
                </c:pt>
                <c:pt idx="596">
                  <c:v>370</c:v>
                </c:pt>
                <c:pt idx="597">
                  <c:v>365</c:v>
                </c:pt>
                <c:pt idx="598">
                  <c:v>368</c:v>
                </c:pt>
                <c:pt idx="599">
                  <c:v>375</c:v>
                </c:pt>
                <c:pt idx="600">
                  <c:v>373</c:v>
                </c:pt>
                <c:pt idx="601">
                  <c:v>379</c:v>
                </c:pt>
                <c:pt idx="602">
                  <c:v>385</c:v>
                </c:pt>
                <c:pt idx="603">
                  <c:v>385</c:v>
                </c:pt>
                <c:pt idx="604">
                  <c:v>390</c:v>
                </c:pt>
                <c:pt idx="605">
                  <c:v>403</c:v>
                </c:pt>
                <c:pt idx="606">
                  <c:v>400</c:v>
                </c:pt>
                <c:pt idx="607">
                  <c:v>384</c:v>
                </c:pt>
                <c:pt idx="608">
                  <c:v>378</c:v>
                </c:pt>
                <c:pt idx="609">
                  <c:v>365</c:v>
                </c:pt>
                <c:pt idx="610">
                  <c:v>359</c:v>
                </c:pt>
                <c:pt idx="611">
                  <c:v>367</c:v>
                </c:pt>
                <c:pt idx="612">
                  <c:v>365</c:v>
                </c:pt>
                <c:pt idx="613">
                  <c:v>369</c:v>
                </c:pt>
                <c:pt idx="614">
                  <c:v>368</c:v>
                </c:pt>
                <c:pt idx="615">
                  <c:v>367</c:v>
                </c:pt>
                <c:pt idx="616">
                  <c:v>365</c:v>
                </c:pt>
                <c:pt idx="617">
                  <c:v>367</c:v>
                </c:pt>
                <c:pt idx="618">
                  <c:v>370</c:v>
                </c:pt>
                <c:pt idx="619">
                  <c:v>378</c:v>
                </c:pt>
                <c:pt idx="620">
                  <c:v>385</c:v>
                </c:pt>
                <c:pt idx="621">
                  <c:v>400</c:v>
                </c:pt>
                <c:pt idx="622">
                  <c:v>413</c:v>
                </c:pt>
                <c:pt idx="623">
                  <c:v>415</c:v>
                </c:pt>
                <c:pt idx="624">
                  <c:v>388</c:v>
                </c:pt>
                <c:pt idx="625">
                  <c:v>380</c:v>
                </c:pt>
                <c:pt idx="626">
                  <c:v>380</c:v>
                </c:pt>
                <c:pt idx="627">
                  <c:v>378</c:v>
                </c:pt>
                <c:pt idx="628">
                  <c:v>373</c:v>
                </c:pt>
                <c:pt idx="629">
                  <c:v>373</c:v>
                </c:pt>
                <c:pt idx="630">
                  <c:v>373</c:v>
                </c:pt>
                <c:pt idx="631">
                  <c:v>353</c:v>
                </c:pt>
                <c:pt idx="632">
                  <c:v>346</c:v>
                </c:pt>
                <c:pt idx="633">
                  <c:v>354</c:v>
                </c:pt>
                <c:pt idx="634">
                  <c:v>348</c:v>
                </c:pt>
                <c:pt idx="635">
                  <c:v>343</c:v>
                </c:pt>
                <c:pt idx="636">
                  <c:v>340</c:v>
                </c:pt>
                <c:pt idx="637">
                  <c:v>338</c:v>
                </c:pt>
                <c:pt idx="638">
                  <c:v>338</c:v>
                </c:pt>
                <c:pt idx="639">
                  <c:v>328</c:v>
                </c:pt>
                <c:pt idx="640">
                  <c:v>305</c:v>
                </c:pt>
                <c:pt idx="641">
                  <c:v>308</c:v>
                </c:pt>
                <c:pt idx="642">
                  <c:v>308</c:v>
                </c:pt>
                <c:pt idx="643">
                  <c:v>318</c:v>
                </c:pt>
                <c:pt idx="644">
                  <c:v>318</c:v>
                </c:pt>
                <c:pt idx="645">
                  <c:v>323</c:v>
                </c:pt>
                <c:pt idx="646">
                  <c:v>322</c:v>
                </c:pt>
                <c:pt idx="647">
                  <c:v>319</c:v>
                </c:pt>
                <c:pt idx="648">
                  <c:v>313</c:v>
                </c:pt>
                <c:pt idx="649">
                  <c:v>299</c:v>
                </c:pt>
                <c:pt idx="650">
                  <c:v>290</c:v>
                </c:pt>
                <c:pt idx="651">
                  <c:v>281</c:v>
                </c:pt>
                <c:pt idx="652">
                  <c:v>271</c:v>
                </c:pt>
                <c:pt idx="653">
                  <c:v>275</c:v>
                </c:pt>
                <c:pt idx="654">
                  <c:v>274</c:v>
                </c:pt>
                <c:pt idx="655">
                  <c:v>278</c:v>
                </c:pt>
                <c:pt idx="656">
                  <c:v>280</c:v>
                </c:pt>
                <c:pt idx="657">
                  <c:v>283</c:v>
                </c:pt>
                <c:pt idx="658">
                  <c:v>286</c:v>
                </c:pt>
                <c:pt idx="659">
                  <c:v>286</c:v>
                </c:pt>
                <c:pt idx="660">
                  <c:v>293</c:v>
                </c:pt>
                <c:pt idx="661">
                  <c:v>301</c:v>
                </c:pt>
                <c:pt idx="662">
                  <c:v>303</c:v>
                </c:pt>
                <c:pt idx="663">
                  <c:v>300</c:v>
                </c:pt>
                <c:pt idx="664">
                  <c:v>308</c:v>
                </c:pt>
                <c:pt idx="665">
                  <c:v>313</c:v>
                </c:pt>
                <c:pt idx="666">
                  <c:v>323</c:v>
                </c:pt>
                <c:pt idx="667">
                  <c:v>333</c:v>
                </c:pt>
                <c:pt idx="668">
                  <c:v>333</c:v>
                </c:pt>
                <c:pt idx="669">
                  <c:v>324</c:v>
                </c:pt>
                <c:pt idx="670">
                  <c:v>325</c:v>
                </c:pt>
                <c:pt idx="671">
                  <c:v>335</c:v>
                </c:pt>
                <c:pt idx="672">
                  <c:v>360</c:v>
                </c:pt>
                <c:pt idx="673">
                  <c:v>354</c:v>
                </c:pt>
                <c:pt idx="674">
                  <c:v>352</c:v>
                </c:pt>
                <c:pt idx="675">
                  <c:v>338</c:v>
                </c:pt>
                <c:pt idx="676">
                  <c:v>333</c:v>
                </c:pt>
                <c:pt idx="677">
                  <c:v>325</c:v>
                </c:pt>
                <c:pt idx="678">
                  <c:v>323</c:v>
                </c:pt>
                <c:pt idx="679">
                  <c:v>315</c:v>
                </c:pt>
                <c:pt idx="680">
                  <c:v>308</c:v>
                </c:pt>
                <c:pt idx="681">
                  <c:v>300</c:v>
                </c:pt>
                <c:pt idx="682">
                  <c:v>290</c:v>
                </c:pt>
                <c:pt idx="683">
                  <c:v>287</c:v>
                </c:pt>
                <c:pt idx="684">
                  <c:v>291</c:v>
                </c:pt>
                <c:pt idx="685">
                  <c:v>293</c:v>
                </c:pt>
                <c:pt idx="686">
                  <c:v>297</c:v>
                </c:pt>
                <c:pt idx="687">
                  <c:v>297</c:v>
                </c:pt>
                <c:pt idx="688">
                  <c:v>297</c:v>
                </c:pt>
                <c:pt idx="689">
                  <c:v>288</c:v>
                </c:pt>
                <c:pt idx="690">
                  <c:v>295</c:v>
                </c:pt>
                <c:pt idx="691">
                  <c:v>295</c:v>
                </c:pt>
                <c:pt idx="692">
                  <c:v>300</c:v>
                </c:pt>
                <c:pt idx="693">
                  <c:v>300</c:v>
                </c:pt>
                <c:pt idx="694">
                  <c:v>300</c:v>
                </c:pt>
                <c:pt idx="695">
                  <c:v>303</c:v>
                </c:pt>
                <c:pt idx="696">
                  <c:v>302</c:v>
                </c:pt>
                <c:pt idx="697">
                  <c:v>293</c:v>
                </c:pt>
                <c:pt idx="698">
                  <c:v>295</c:v>
                </c:pt>
                <c:pt idx="699">
                  <c:v>305</c:v>
                </c:pt>
                <c:pt idx="700">
                  <c:v>308</c:v>
                </c:pt>
                <c:pt idx="701">
                  <c:v>311</c:v>
                </c:pt>
                <c:pt idx="702">
                  <c:v>324</c:v>
                </c:pt>
                <c:pt idx="703">
                  <c:v>330</c:v>
                </c:pt>
                <c:pt idx="704">
                  <c:v>333</c:v>
                </c:pt>
                <c:pt idx="705">
                  <c:v>330</c:v>
                </c:pt>
                <c:pt idx="706">
                  <c:v>328</c:v>
                </c:pt>
                <c:pt idx="707">
                  <c:v>320</c:v>
                </c:pt>
                <c:pt idx="708">
                  <c:v>320</c:v>
                </c:pt>
                <c:pt idx="709">
                  <c:v>320</c:v>
                </c:pt>
                <c:pt idx="710">
                  <c:v>320</c:v>
                </c:pt>
                <c:pt idx="711">
                  <c:v>318</c:v>
                </c:pt>
                <c:pt idx="712">
                  <c:v>318</c:v>
                </c:pt>
                <c:pt idx="713">
                  <c:v>312</c:v>
                </c:pt>
                <c:pt idx="714">
                  <c:v>312</c:v>
                </c:pt>
                <c:pt idx="715">
                  <c:v>307</c:v>
                </c:pt>
                <c:pt idx="716">
                  <c:v>303</c:v>
                </c:pt>
                <c:pt idx="717">
                  <c:v>300</c:v>
                </c:pt>
                <c:pt idx="718">
                  <c:v>305</c:v>
                </c:pt>
                <c:pt idx="719">
                  <c:v>315</c:v>
                </c:pt>
                <c:pt idx="720">
                  <c:v>315</c:v>
                </c:pt>
                <c:pt idx="721">
                  <c:v>318</c:v>
                </c:pt>
                <c:pt idx="722">
                  <c:v>313</c:v>
                </c:pt>
                <c:pt idx="723">
                  <c:v>313</c:v>
                </c:pt>
                <c:pt idx="724">
                  <c:v>303</c:v>
                </c:pt>
                <c:pt idx="725">
                  <c:v>303</c:v>
                </c:pt>
                <c:pt idx="726">
                  <c:v>296</c:v>
                </c:pt>
                <c:pt idx="727">
                  <c:v>291</c:v>
                </c:pt>
                <c:pt idx="728">
                  <c:v>285</c:v>
                </c:pt>
                <c:pt idx="729">
                  <c:v>276</c:v>
                </c:pt>
                <c:pt idx="730">
                  <c:v>271</c:v>
                </c:pt>
                <c:pt idx="731">
                  <c:v>261</c:v>
                </c:pt>
                <c:pt idx="732">
                  <c:v>261</c:v>
                </c:pt>
                <c:pt idx="733">
                  <c:v>258</c:v>
                </c:pt>
                <c:pt idx="734">
                  <c:v>250</c:v>
                </c:pt>
                <c:pt idx="735">
                  <c:v>248</c:v>
                </c:pt>
                <c:pt idx="736">
                  <c:v>251</c:v>
                </c:pt>
                <c:pt idx="737">
                  <c:v>260</c:v>
                </c:pt>
                <c:pt idx="738">
                  <c:v>268</c:v>
                </c:pt>
                <c:pt idx="739">
                  <c:v>276</c:v>
                </c:pt>
                <c:pt idx="740">
                  <c:v>281</c:v>
                </c:pt>
                <c:pt idx="741">
                  <c:v>283</c:v>
                </c:pt>
                <c:pt idx="742">
                  <c:v>291</c:v>
                </c:pt>
                <c:pt idx="743">
                  <c:v>288</c:v>
                </c:pt>
                <c:pt idx="744">
                  <c:v>288</c:v>
                </c:pt>
                <c:pt idx="745">
                  <c:v>287</c:v>
                </c:pt>
                <c:pt idx="746">
                  <c:v>283</c:v>
                </c:pt>
                <c:pt idx="747">
                  <c:v>280</c:v>
                </c:pt>
                <c:pt idx="748">
                  <c:v>268</c:v>
                </c:pt>
                <c:pt idx="749">
                  <c:v>266</c:v>
                </c:pt>
                <c:pt idx="750">
                  <c:v>262</c:v>
                </c:pt>
                <c:pt idx="751">
                  <c:v>268</c:v>
                </c:pt>
                <c:pt idx="752">
                  <c:v>273</c:v>
                </c:pt>
                <c:pt idx="753">
                  <c:v>271</c:v>
                </c:pt>
                <c:pt idx="754">
                  <c:v>269</c:v>
                </c:pt>
                <c:pt idx="755">
                  <c:v>264</c:v>
                </c:pt>
                <c:pt idx="756">
                  <c:v>260</c:v>
                </c:pt>
                <c:pt idx="757">
                  <c:v>253</c:v>
                </c:pt>
                <c:pt idx="758">
                  <c:v>245</c:v>
                </c:pt>
                <c:pt idx="759">
                  <c:v>244</c:v>
                </c:pt>
                <c:pt idx="760">
                  <c:v>246</c:v>
                </c:pt>
                <c:pt idx="761">
                  <c:v>249</c:v>
                </c:pt>
                <c:pt idx="762">
                  <c:v>252</c:v>
                </c:pt>
                <c:pt idx="763">
                  <c:v>258</c:v>
                </c:pt>
                <c:pt idx="764">
                  <c:v>260</c:v>
                </c:pt>
                <c:pt idx="765">
                  <c:v>261</c:v>
                </c:pt>
                <c:pt idx="766">
                  <c:v>256</c:v>
                </c:pt>
                <c:pt idx="767">
                  <c:v>246</c:v>
                </c:pt>
                <c:pt idx="768">
                  <c:v>238</c:v>
                </c:pt>
                <c:pt idx="769">
                  <c:v>239</c:v>
                </c:pt>
                <c:pt idx="770">
                  <c:v>235</c:v>
                </c:pt>
                <c:pt idx="771">
                  <c:v>232</c:v>
                </c:pt>
                <c:pt idx="772">
                  <c:v>232</c:v>
                </c:pt>
                <c:pt idx="773">
                  <c:v>227</c:v>
                </c:pt>
                <c:pt idx="774">
                  <c:v>220</c:v>
                </c:pt>
                <c:pt idx="775">
                  <c:v>206</c:v>
                </c:pt>
                <c:pt idx="776">
                  <c:v>184</c:v>
                </c:pt>
                <c:pt idx="777">
                  <c:v>191</c:v>
                </c:pt>
                <c:pt idx="778">
                  <c:v>191</c:v>
                </c:pt>
                <c:pt idx="779">
                  <c:v>203</c:v>
                </c:pt>
                <c:pt idx="780">
                  <c:v>211</c:v>
                </c:pt>
                <c:pt idx="781">
                  <c:v>206</c:v>
                </c:pt>
                <c:pt idx="782">
                  <c:v>196</c:v>
                </c:pt>
                <c:pt idx="783">
                  <c:v>187</c:v>
                </c:pt>
                <c:pt idx="784">
                  <c:v>187</c:v>
                </c:pt>
                <c:pt idx="785">
                  <c:v>194</c:v>
                </c:pt>
                <c:pt idx="786">
                  <c:v>198</c:v>
                </c:pt>
                <c:pt idx="787">
                  <c:v>200</c:v>
                </c:pt>
                <c:pt idx="788">
                  <c:v>202</c:v>
                </c:pt>
                <c:pt idx="789">
                  <c:v>202</c:v>
                </c:pt>
                <c:pt idx="790">
                  <c:v>199</c:v>
                </c:pt>
                <c:pt idx="791">
                  <c:v>197</c:v>
                </c:pt>
                <c:pt idx="792">
                  <c:v>196</c:v>
                </c:pt>
                <c:pt idx="793">
                  <c:v>188</c:v>
                </c:pt>
                <c:pt idx="794">
                  <c:v>191</c:v>
                </c:pt>
                <c:pt idx="795">
                  <c:v>191</c:v>
                </c:pt>
                <c:pt idx="796">
                  <c:v>191</c:v>
                </c:pt>
                <c:pt idx="797">
                  <c:v>186</c:v>
                </c:pt>
                <c:pt idx="798">
                  <c:v>187</c:v>
                </c:pt>
                <c:pt idx="799">
                  <c:v>182</c:v>
                </c:pt>
                <c:pt idx="800">
                  <c:v>175</c:v>
                </c:pt>
                <c:pt idx="801">
                  <c:v>174</c:v>
                </c:pt>
                <c:pt idx="802">
                  <c:v>176</c:v>
                </c:pt>
                <c:pt idx="803">
                  <c:v>177</c:v>
                </c:pt>
                <c:pt idx="804">
                  <c:v>180</c:v>
                </c:pt>
                <c:pt idx="805">
                  <c:v>182</c:v>
                </c:pt>
                <c:pt idx="806">
                  <c:v>184</c:v>
                </c:pt>
                <c:pt idx="807">
                  <c:v>187</c:v>
                </c:pt>
                <c:pt idx="808">
                  <c:v>189</c:v>
                </c:pt>
                <c:pt idx="809">
                  <c:v>189</c:v>
                </c:pt>
                <c:pt idx="810">
                  <c:v>189</c:v>
                </c:pt>
                <c:pt idx="811">
                  <c:v>189</c:v>
                </c:pt>
                <c:pt idx="812">
                  <c:v>187</c:v>
                </c:pt>
                <c:pt idx="813">
                  <c:v>187</c:v>
                </c:pt>
                <c:pt idx="814">
                  <c:v>191</c:v>
                </c:pt>
                <c:pt idx="815">
                  <c:v>191</c:v>
                </c:pt>
                <c:pt idx="816">
                  <c:v>195</c:v>
                </c:pt>
                <c:pt idx="817">
                  <c:v>208</c:v>
                </c:pt>
                <c:pt idx="818">
                  <c:v>221</c:v>
                </c:pt>
                <c:pt idx="819">
                  <c:v>220</c:v>
                </c:pt>
                <c:pt idx="820">
                  <c:v>208</c:v>
                </c:pt>
                <c:pt idx="821">
                  <c:v>213</c:v>
                </c:pt>
                <c:pt idx="822">
                  <c:v>214</c:v>
                </c:pt>
                <c:pt idx="823">
                  <c:v>221</c:v>
                </c:pt>
                <c:pt idx="824">
                  <c:v>222</c:v>
                </c:pt>
                <c:pt idx="825">
                  <c:v>231</c:v>
                </c:pt>
                <c:pt idx="826">
                  <c:v>247</c:v>
                </c:pt>
                <c:pt idx="827">
                  <c:v>248</c:v>
                </c:pt>
                <c:pt idx="828">
                  <c:v>250</c:v>
                </c:pt>
              </c:strCache>
            </c:strRef>
          </c:xVal>
          <c:yVal>
            <c:numRef>
              <c:f>'model (2)'!$AB$183:$AB$1011</c:f>
              <c:numCache>
                <c:formatCode>0</c:formatCode>
                <c:ptCount val="829"/>
                <c:pt idx="0">
                  <c:v>51.5</c:v>
                </c:pt>
                <c:pt idx="1">
                  <c:v>51.5</c:v>
                </c:pt>
                <c:pt idx="2">
                  <c:v>51.5</c:v>
                </c:pt>
                <c:pt idx="3">
                  <c:v>51</c:v>
                </c:pt>
                <c:pt idx="4">
                  <c:v>52</c:v>
                </c:pt>
                <c:pt idx="5">
                  <c:v>55</c:v>
                </c:pt>
                <c:pt idx="6">
                  <c:v>54.5</c:v>
                </c:pt>
                <c:pt idx="7">
                  <c:v>52.5</c:v>
                </c:pt>
                <c:pt idx="8">
                  <c:v>58.5</c:v>
                </c:pt>
                <c:pt idx="9">
                  <c:v>63.5</c:v>
                </c:pt>
                <c:pt idx="10">
                  <c:v>70</c:v>
                </c:pt>
                <c:pt idx="11">
                  <c:v>71</c:v>
                </c:pt>
                <c:pt idx="12">
                  <c:v>72</c:v>
                </c:pt>
                <c:pt idx="13">
                  <c:v>74.5</c:v>
                </c:pt>
                <c:pt idx="14">
                  <c:v>80</c:v>
                </c:pt>
                <c:pt idx="15">
                  <c:v>79</c:v>
                </c:pt>
                <c:pt idx="16">
                  <c:v>75.5</c:v>
                </c:pt>
                <c:pt idx="17">
                  <c:v>72.5</c:v>
                </c:pt>
                <c:pt idx="18">
                  <c:v>71.5</c:v>
                </c:pt>
                <c:pt idx="19">
                  <c:v>71.5</c:v>
                </c:pt>
                <c:pt idx="20">
                  <c:v>66.5</c:v>
                </c:pt>
                <c:pt idx="21">
                  <c:v>67.5</c:v>
                </c:pt>
                <c:pt idx="22">
                  <c:v>64.5</c:v>
                </c:pt>
                <c:pt idx="23">
                  <c:v>63.5</c:v>
                </c:pt>
                <c:pt idx="24">
                  <c:v>62.5</c:v>
                </c:pt>
                <c:pt idx="25">
                  <c:v>57.5</c:v>
                </c:pt>
                <c:pt idx="26">
                  <c:v>57.5</c:v>
                </c:pt>
                <c:pt idx="27">
                  <c:v>57.5</c:v>
                </c:pt>
                <c:pt idx="28">
                  <c:v>58</c:v>
                </c:pt>
                <c:pt idx="29">
                  <c:v>60</c:v>
                </c:pt>
                <c:pt idx="30">
                  <c:v>63</c:v>
                </c:pt>
                <c:pt idx="31">
                  <c:v>76.5</c:v>
                </c:pt>
                <c:pt idx="32">
                  <c:v>82.5</c:v>
                </c:pt>
                <c:pt idx="33">
                  <c:v>100</c:v>
                </c:pt>
                <c:pt idx="34">
                  <c:v>107.5</c:v>
                </c:pt>
                <c:pt idx="35">
                  <c:v>100</c:v>
                </c:pt>
                <c:pt idx="36">
                  <c:v>100</c:v>
                </c:pt>
                <c:pt idx="37">
                  <c:v>97.5</c:v>
                </c:pt>
                <c:pt idx="38">
                  <c:v>97.5</c:v>
                </c:pt>
                <c:pt idx="39">
                  <c:v>97.5</c:v>
                </c:pt>
                <c:pt idx="40">
                  <c:v>97.5</c:v>
                </c:pt>
                <c:pt idx="41">
                  <c:v>97.5</c:v>
                </c:pt>
                <c:pt idx="42">
                  <c:v>91.5</c:v>
                </c:pt>
                <c:pt idx="43">
                  <c:v>90.5</c:v>
                </c:pt>
                <c:pt idx="44">
                  <c:v>82.5</c:v>
                </c:pt>
                <c:pt idx="45">
                  <c:v>79</c:v>
                </c:pt>
                <c:pt idx="46">
                  <c:v>76</c:v>
                </c:pt>
                <c:pt idx="47">
                  <c:v>76</c:v>
                </c:pt>
                <c:pt idx="48">
                  <c:v>61</c:v>
                </c:pt>
                <c:pt idx="49">
                  <c:v>60.5</c:v>
                </c:pt>
                <c:pt idx="50">
                  <c:v>60.5</c:v>
                </c:pt>
                <c:pt idx="51">
                  <c:v>50</c:v>
                </c:pt>
                <c:pt idx="52">
                  <c:v>50</c:v>
                </c:pt>
                <c:pt idx="53">
                  <c:v>48</c:v>
                </c:pt>
                <c:pt idx="54">
                  <c:v>48</c:v>
                </c:pt>
                <c:pt idx="55">
                  <c:v>55</c:v>
                </c:pt>
                <c:pt idx="56">
                  <c:v>55.5</c:v>
                </c:pt>
                <c:pt idx="57">
                  <c:v>57</c:v>
                </c:pt>
                <c:pt idx="58">
                  <c:v>57</c:v>
                </c:pt>
                <c:pt idx="59">
                  <c:v>60</c:v>
                </c:pt>
                <c:pt idx="60">
                  <c:v>60</c:v>
                </c:pt>
                <c:pt idx="61">
                  <c:v>58.5</c:v>
                </c:pt>
                <c:pt idx="62">
                  <c:v>58.5</c:v>
                </c:pt>
                <c:pt idx="63">
                  <c:v>58.5</c:v>
                </c:pt>
                <c:pt idx="64">
                  <c:v>56.5</c:v>
                </c:pt>
                <c:pt idx="65">
                  <c:v>0</c:v>
                </c:pt>
                <c:pt idx="66">
                  <c:v>56.5</c:v>
                </c:pt>
                <c:pt idx="67">
                  <c:v>52</c:v>
                </c:pt>
                <c:pt idx="68">
                  <c:v>57</c:v>
                </c:pt>
                <c:pt idx="69">
                  <c:v>59.5</c:v>
                </c:pt>
                <c:pt idx="70">
                  <c:v>62</c:v>
                </c:pt>
                <c:pt idx="71">
                  <c:v>59</c:v>
                </c:pt>
                <c:pt idx="72">
                  <c:v>59</c:v>
                </c:pt>
                <c:pt idx="73">
                  <c:v>58</c:v>
                </c:pt>
                <c:pt idx="74">
                  <c:v>60</c:v>
                </c:pt>
                <c:pt idx="75">
                  <c:v>61.5</c:v>
                </c:pt>
                <c:pt idx="76">
                  <c:v>62</c:v>
                </c:pt>
                <c:pt idx="77">
                  <c:v>62</c:v>
                </c:pt>
                <c:pt idx="78">
                  <c:v>64.5</c:v>
                </c:pt>
                <c:pt idx="79">
                  <c:v>67</c:v>
                </c:pt>
                <c:pt idx="80">
                  <c:v>67</c:v>
                </c:pt>
                <c:pt idx="81">
                  <c:v>67</c:v>
                </c:pt>
                <c:pt idx="82">
                  <c:v>83</c:v>
                </c:pt>
                <c:pt idx="83">
                  <c:v>83</c:v>
                </c:pt>
                <c:pt idx="84">
                  <c:v>83</c:v>
                </c:pt>
                <c:pt idx="85">
                  <c:v>79</c:v>
                </c:pt>
                <c:pt idx="86">
                  <c:v>77.5</c:v>
                </c:pt>
                <c:pt idx="87">
                  <c:v>77.5</c:v>
                </c:pt>
                <c:pt idx="88">
                  <c:v>77.5</c:v>
                </c:pt>
                <c:pt idx="89">
                  <c:v>77.5</c:v>
                </c:pt>
                <c:pt idx="90">
                  <c:v>77.5</c:v>
                </c:pt>
                <c:pt idx="91">
                  <c:v>76</c:v>
                </c:pt>
                <c:pt idx="92">
                  <c:v>75.5</c:v>
                </c:pt>
                <c:pt idx="93">
                  <c:v>75.5</c:v>
                </c:pt>
                <c:pt idx="94">
                  <c:v>66</c:v>
                </c:pt>
                <c:pt idx="95">
                  <c:v>64</c:v>
                </c:pt>
                <c:pt idx="96">
                  <c:v>65</c:v>
                </c:pt>
                <c:pt idx="97">
                  <c:v>65</c:v>
                </c:pt>
                <c:pt idx="98">
                  <c:v>62</c:v>
                </c:pt>
                <c:pt idx="99">
                  <c:v>61</c:v>
                </c:pt>
                <c:pt idx="100">
                  <c:v>62.5</c:v>
                </c:pt>
                <c:pt idx="101">
                  <c:v>63.5</c:v>
                </c:pt>
                <c:pt idx="102">
                  <c:v>64</c:v>
                </c:pt>
                <c:pt idx="103">
                  <c:v>64</c:v>
                </c:pt>
                <c:pt idx="104">
                  <c:v>64</c:v>
                </c:pt>
                <c:pt idx="105">
                  <c:v>64</c:v>
                </c:pt>
                <c:pt idx="106">
                  <c:v>64</c:v>
                </c:pt>
                <c:pt idx="107">
                  <c:v>62</c:v>
                </c:pt>
                <c:pt idx="108">
                  <c:v>61.5</c:v>
                </c:pt>
                <c:pt idx="109">
                  <c:v>59.5</c:v>
                </c:pt>
                <c:pt idx="110">
                  <c:v>61</c:v>
                </c:pt>
                <c:pt idx="111">
                  <c:v>60.5</c:v>
                </c:pt>
                <c:pt idx="112">
                  <c:v>64</c:v>
                </c:pt>
                <c:pt idx="113">
                  <c:v>64</c:v>
                </c:pt>
                <c:pt idx="114">
                  <c:v>64</c:v>
                </c:pt>
                <c:pt idx="115">
                  <c:v>64</c:v>
                </c:pt>
                <c:pt idx="116">
                  <c:v>64</c:v>
                </c:pt>
                <c:pt idx="117">
                  <c:v>59.5</c:v>
                </c:pt>
                <c:pt idx="118">
                  <c:v>59.5</c:v>
                </c:pt>
                <c:pt idx="119">
                  <c:v>59.5</c:v>
                </c:pt>
                <c:pt idx="120">
                  <c:v>61</c:v>
                </c:pt>
                <c:pt idx="121">
                  <c:v>61</c:v>
                </c:pt>
                <c:pt idx="122">
                  <c:v>60.5</c:v>
                </c:pt>
                <c:pt idx="123">
                  <c:v>58</c:v>
                </c:pt>
                <c:pt idx="124">
                  <c:v>56</c:v>
                </c:pt>
                <c:pt idx="125">
                  <c:v>56</c:v>
                </c:pt>
                <c:pt idx="126">
                  <c:v>56</c:v>
                </c:pt>
                <c:pt idx="127">
                  <c:v>64</c:v>
                </c:pt>
                <c:pt idx="128">
                  <c:v>62</c:v>
                </c:pt>
                <c:pt idx="129">
                  <c:v>62</c:v>
                </c:pt>
                <c:pt idx="130">
                  <c:v>64</c:v>
                </c:pt>
                <c:pt idx="131">
                  <c:v>67.5</c:v>
                </c:pt>
                <c:pt idx="132">
                  <c:v>67.5</c:v>
                </c:pt>
                <c:pt idx="133">
                  <c:v>67.5</c:v>
                </c:pt>
                <c:pt idx="134">
                  <c:v>67.5</c:v>
                </c:pt>
                <c:pt idx="135">
                  <c:v>77.5</c:v>
                </c:pt>
                <c:pt idx="136">
                  <c:v>87.5</c:v>
                </c:pt>
                <c:pt idx="137">
                  <c:v>87.5</c:v>
                </c:pt>
                <c:pt idx="138">
                  <c:v>96.5</c:v>
                </c:pt>
                <c:pt idx="139">
                  <c:v>97.5</c:v>
                </c:pt>
                <c:pt idx="140">
                  <c:v>99</c:v>
                </c:pt>
                <c:pt idx="141">
                  <c:v>99</c:v>
                </c:pt>
                <c:pt idx="142">
                  <c:v>99</c:v>
                </c:pt>
                <c:pt idx="143">
                  <c:v>92.5</c:v>
                </c:pt>
                <c:pt idx="144">
                  <c:v>91</c:v>
                </c:pt>
                <c:pt idx="145">
                  <c:v>91</c:v>
                </c:pt>
                <c:pt idx="146">
                  <c:v>89.5</c:v>
                </c:pt>
                <c:pt idx="147">
                  <c:v>67.5</c:v>
                </c:pt>
                <c:pt idx="148">
                  <c:v>63.5</c:v>
                </c:pt>
                <c:pt idx="149">
                  <c:v>62.5</c:v>
                </c:pt>
                <c:pt idx="150">
                  <c:v>69</c:v>
                </c:pt>
                <c:pt idx="151">
                  <c:v>69</c:v>
                </c:pt>
                <c:pt idx="152">
                  <c:v>67.5</c:v>
                </c:pt>
                <c:pt idx="153">
                  <c:v>70</c:v>
                </c:pt>
                <c:pt idx="154">
                  <c:v>69</c:v>
                </c:pt>
                <c:pt idx="155">
                  <c:v>69</c:v>
                </c:pt>
                <c:pt idx="156">
                  <c:v>73</c:v>
                </c:pt>
                <c:pt idx="157">
                  <c:v>73</c:v>
                </c:pt>
                <c:pt idx="158">
                  <c:v>82.5</c:v>
                </c:pt>
                <c:pt idx="159">
                  <c:v>84</c:v>
                </c:pt>
                <c:pt idx="160">
                  <c:v>81</c:v>
                </c:pt>
                <c:pt idx="161">
                  <c:v>81</c:v>
                </c:pt>
                <c:pt idx="162">
                  <c:v>80.5</c:v>
                </c:pt>
                <c:pt idx="163">
                  <c:v>83</c:v>
                </c:pt>
                <c:pt idx="164">
                  <c:v>84.5</c:v>
                </c:pt>
                <c:pt idx="165">
                  <c:v>91</c:v>
                </c:pt>
                <c:pt idx="166">
                  <c:v>91</c:v>
                </c:pt>
                <c:pt idx="167">
                  <c:v>91</c:v>
                </c:pt>
                <c:pt idx="168">
                  <c:v>92</c:v>
                </c:pt>
                <c:pt idx="169">
                  <c:v>96</c:v>
                </c:pt>
                <c:pt idx="170">
                  <c:v>97.5</c:v>
                </c:pt>
                <c:pt idx="171">
                  <c:v>103.5</c:v>
                </c:pt>
                <c:pt idx="172">
                  <c:v>116</c:v>
                </c:pt>
                <c:pt idx="173">
                  <c:v>117</c:v>
                </c:pt>
                <c:pt idx="174">
                  <c:v>117</c:v>
                </c:pt>
                <c:pt idx="175">
                  <c:v>117</c:v>
                </c:pt>
                <c:pt idx="176">
                  <c:v>115</c:v>
                </c:pt>
                <c:pt idx="177">
                  <c:v>114</c:v>
                </c:pt>
                <c:pt idx="178">
                  <c:v>112.5</c:v>
                </c:pt>
                <c:pt idx="179">
                  <c:v>112.5</c:v>
                </c:pt>
                <c:pt idx="180">
                  <c:v>116</c:v>
                </c:pt>
                <c:pt idx="181">
                  <c:v>119</c:v>
                </c:pt>
                <c:pt idx="182">
                  <c:v>121</c:v>
                </c:pt>
                <c:pt idx="183">
                  <c:v>125.5</c:v>
                </c:pt>
                <c:pt idx="184">
                  <c:v>127.5</c:v>
                </c:pt>
                <c:pt idx="185">
                  <c:v>130</c:v>
                </c:pt>
                <c:pt idx="186">
                  <c:v>132.5</c:v>
                </c:pt>
                <c:pt idx="187">
                  <c:v>130</c:v>
                </c:pt>
                <c:pt idx="188">
                  <c:v>119</c:v>
                </c:pt>
                <c:pt idx="189">
                  <c:v>117.5</c:v>
                </c:pt>
                <c:pt idx="190">
                  <c:v>117.5</c:v>
                </c:pt>
                <c:pt idx="191">
                  <c:v>116.5</c:v>
                </c:pt>
                <c:pt idx="192">
                  <c:v>125</c:v>
                </c:pt>
                <c:pt idx="193">
                  <c:v>125</c:v>
                </c:pt>
                <c:pt idx="194">
                  <c:v>125</c:v>
                </c:pt>
                <c:pt idx="195">
                  <c:v>131</c:v>
                </c:pt>
                <c:pt idx="196">
                  <c:v>131</c:v>
                </c:pt>
                <c:pt idx="197">
                  <c:v>112.5</c:v>
                </c:pt>
                <c:pt idx="198">
                  <c:v>100</c:v>
                </c:pt>
                <c:pt idx="199">
                  <c:v>95</c:v>
                </c:pt>
                <c:pt idx="200">
                  <c:v>92</c:v>
                </c:pt>
                <c:pt idx="201">
                  <c:v>90</c:v>
                </c:pt>
                <c:pt idx="202">
                  <c:v>89</c:v>
                </c:pt>
                <c:pt idx="203">
                  <c:v>97.5</c:v>
                </c:pt>
                <c:pt idx="204">
                  <c:v>116.5</c:v>
                </c:pt>
                <c:pt idx="205">
                  <c:v>118.5</c:v>
                </c:pt>
                <c:pt idx="206">
                  <c:v>120</c:v>
                </c:pt>
                <c:pt idx="207">
                  <c:v>120.5</c:v>
                </c:pt>
                <c:pt idx="208">
                  <c:v>120</c:v>
                </c:pt>
                <c:pt idx="209">
                  <c:v>112.5</c:v>
                </c:pt>
                <c:pt idx="210">
                  <c:v>128.5</c:v>
                </c:pt>
                <c:pt idx="211">
                  <c:v>128.5</c:v>
                </c:pt>
                <c:pt idx="212">
                  <c:v>123</c:v>
                </c:pt>
                <c:pt idx="213">
                  <c:v>122</c:v>
                </c:pt>
                <c:pt idx="214">
                  <c:v>129</c:v>
                </c:pt>
                <c:pt idx="215">
                  <c:v>129</c:v>
                </c:pt>
                <c:pt idx="216">
                  <c:v>126.5</c:v>
                </c:pt>
                <c:pt idx="217">
                  <c:v>126.5</c:v>
                </c:pt>
                <c:pt idx="218">
                  <c:v>126.5</c:v>
                </c:pt>
                <c:pt idx="219">
                  <c:v>131</c:v>
                </c:pt>
                <c:pt idx="220">
                  <c:v>141</c:v>
                </c:pt>
                <c:pt idx="221">
                  <c:v>148.5</c:v>
                </c:pt>
                <c:pt idx="222">
                  <c:v>149.5</c:v>
                </c:pt>
                <c:pt idx="223">
                  <c:v>155.5</c:v>
                </c:pt>
                <c:pt idx="224">
                  <c:v>156</c:v>
                </c:pt>
                <c:pt idx="225">
                  <c:v>153.5</c:v>
                </c:pt>
                <c:pt idx="226">
                  <c:v>151.5</c:v>
                </c:pt>
                <c:pt idx="227">
                  <c:v>148</c:v>
                </c:pt>
                <c:pt idx="228">
                  <c:v>148</c:v>
                </c:pt>
                <c:pt idx="229">
                  <c:v>148</c:v>
                </c:pt>
                <c:pt idx="230">
                  <c:v>148</c:v>
                </c:pt>
                <c:pt idx="231">
                  <c:v>148</c:v>
                </c:pt>
                <c:pt idx="232">
                  <c:v>137.5</c:v>
                </c:pt>
                <c:pt idx="233">
                  <c:v>137.5</c:v>
                </c:pt>
                <c:pt idx="234">
                  <c:v>125.5</c:v>
                </c:pt>
                <c:pt idx="235">
                  <c:v>135.5</c:v>
                </c:pt>
                <c:pt idx="236">
                  <c:v>128</c:v>
                </c:pt>
                <c:pt idx="237">
                  <c:v>128</c:v>
                </c:pt>
                <c:pt idx="238">
                  <c:v>128</c:v>
                </c:pt>
                <c:pt idx="239">
                  <c:v>128</c:v>
                </c:pt>
                <c:pt idx="240">
                  <c:v>142.5</c:v>
                </c:pt>
                <c:pt idx="241">
                  <c:v>151.5</c:v>
                </c:pt>
                <c:pt idx="242">
                  <c:v>155</c:v>
                </c:pt>
                <c:pt idx="243">
                  <c:v>156.5</c:v>
                </c:pt>
                <c:pt idx="244">
                  <c:v>156.5</c:v>
                </c:pt>
                <c:pt idx="245">
                  <c:v>151</c:v>
                </c:pt>
                <c:pt idx="246">
                  <c:v>237.5</c:v>
                </c:pt>
                <c:pt idx="247">
                  <c:v>146.5</c:v>
                </c:pt>
                <c:pt idx="248">
                  <c:v>142.5</c:v>
                </c:pt>
                <c:pt idx="249">
                  <c:v>141</c:v>
                </c:pt>
                <c:pt idx="250">
                  <c:v>147.5</c:v>
                </c:pt>
                <c:pt idx="251">
                  <c:v>150</c:v>
                </c:pt>
                <c:pt idx="252">
                  <c:v>150</c:v>
                </c:pt>
                <c:pt idx="253">
                  <c:v>142.5</c:v>
                </c:pt>
                <c:pt idx="254">
                  <c:v>143</c:v>
                </c:pt>
                <c:pt idx="255">
                  <c:v>142.5</c:v>
                </c:pt>
                <c:pt idx="256">
                  <c:v>107.5</c:v>
                </c:pt>
                <c:pt idx="257">
                  <c:v>102</c:v>
                </c:pt>
                <c:pt idx="258">
                  <c:v>119</c:v>
                </c:pt>
                <c:pt idx="259">
                  <c:v>116.5</c:v>
                </c:pt>
                <c:pt idx="260">
                  <c:v>112.5</c:v>
                </c:pt>
                <c:pt idx="261">
                  <c:v>120</c:v>
                </c:pt>
                <c:pt idx="262">
                  <c:v>122.5</c:v>
                </c:pt>
                <c:pt idx="263">
                  <c:v>122.5</c:v>
                </c:pt>
                <c:pt idx="264">
                  <c:v>114.5</c:v>
                </c:pt>
                <c:pt idx="265">
                  <c:v>120</c:v>
                </c:pt>
                <c:pt idx="266">
                  <c:v>119.5</c:v>
                </c:pt>
                <c:pt idx="267">
                  <c:v>135</c:v>
                </c:pt>
                <c:pt idx="268">
                  <c:v>145.5</c:v>
                </c:pt>
                <c:pt idx="269">
                  <c:v>152.5</c:v>
                </c:pt>
                <c:pt idx="270">
                  <c:v>141</c:v>
                </c:pt>
                <c:pt idx="271">
                  <c:v>141</c:v>
                </c:pt>
                <c:pt idx="272">
                  <c:v>141</c:v>
                </c:pt>
                <c:pt idx="273">
                  <c:v>141</c:v>
                </c:pt>
                <c:pt idx="274">
                  <c:v>132.5</c:v>
                </c:pt>
                <c:pt idx="275">
                  <c:v>127.5</c:v>
                </c:pt>
                <c:pt idx="276">
                  <c:v>134.5</c:v>
                </c:pt>
                <c:pt idx="277">
                  <c:v>134</c:v>
                </c:pt>
                <c:pt idx="278">
                  <c:v>134</c:v>
                </c:pt>
                <c:pt idx="279">
                  <c:v>131.5</c:v>
                </c:pt>
                <c:pt idx="280">
                  <c:v>122.5</c:v>
                </c:pt>
                <c:pt idx="281">
                  <c:v>122.5</c:v>
                </c:pt>
                <c:pt idx="282">
                  <c:v>137</c:v>
                </c:pt>
                <c:pt idx="283">
                  <c:v>136.5</c:v>
                </c:pt>
                <c:pt idx="284">
                  <c:v>132</c:v>
                </c:pt>
                <c:pt idx="285">
                  <c:v>139</c:v>
                </c:pt>
                <c:pt idx="286">
                  <c:v>145</c:v>
                </c:pt>
                <c:pt idx="287">
                  <c:v>146</c:v>
                </c:pt>
                <c:pt idx="288">
                  <c:v>145</c:v>
                </c:pt>
                <c:pt idx="289">
                  <c:v>155.5</c:v>
                </c:pt>
                <c:pt idx="290">
                  <c:v>157.5</c:v>
                </c:pt>
                <c:pt idx="291">
                  <c:v>158.5</c:v>
                </c:pt>
                <c:pt idx="292">
                  <c:v>158.5</c:v>
                </c:pt>
                <c:pt idx="293">
                  <c:v>166.5</c:v>
                </c:pt>
                <c:pt idx="294">
                  <c:v>168.5</c:v>
                </c:pt>
                <c:pt idx="295">
                  <c:v>155</c:v>
                </c:pt>
                <c:pt idx="296">
                  <c:v>142.5</c:v>
                </c:pt>
                <c:pt idx="297">
                  <c:v>137.5</c:v>
                </c:pt>
                <c:pt idx="298">
                  <c:v>135</c:v>
                </c:pt>
                <c:pt idx="299">
                  <c:v>136.5</c:v>
                </c:pt>
                <c:pt idx="300">
                  <c:v>137.5</c:v>
                </c:pt>
                <c:pt idx="301">
                  <c:v>138.5</c:v>
                </c:pt>
                <c:pt idx="302">
                  <c:v>135.5</c:v>
                </c:pt>
                <c:pt idx="303">
                  <c:v>128.5</c:v>
                </c:pt>
                <c:pt idx="304">
                  <c:v>122.5</c:v>
                </c:pt>
                <c:pt idx="305">
                  <c:v>122</c:v>
                </c:pt>
                <c:pt idx="306">
                  <c:v>121</c:v>
                </c:pt>
                <c:pt idx="307">
                  <c:v>121</c:v>
                </c:pt>
                <c:pt idx="308">
                  <c:v>125</c:v>
                </c:pt>
                <c:pt idx="309">
                  <c:v>127</c:v>
                </c:pt>
                <c:pt idx="310">
                  <c:v>134</c:v>
                </c:pt>
                <c:pt idx="311">
                  <c:v>142</c:v>
                </c:pt>
                <c:pt idx="312">
                  <c:v>141</c:v>
                </c:pt>
                <c:pt idx="313">
                  <c:v>142</c:v>
                </c:pt>
                <c:pt idx="314">
                  <c:v>142</c:v>
                </c:pt>
                <c:pt idx="315">
                  <c:v>145.5</c:v>
                </c:pt>
                <c:pt idx="316">
                  <c:v>148.5</c:v>
                </c:pt>
                <c:pt idx="317">
                  <c:v>148.5</c:v>
                </c:pt>
                <c:pt idx="318">
                  <c:v>147</c:v>
                </c:pt>
                <c:pt idx="319">
                  <c:v>144</c:v>
                </c:pt>
                <c:pt idx="320">
                  <c:v>142.5</c:v>
                </c:pt>
                <c:pt idx="321">
                  <c:v>141.5</c:v>
                </c:pt>
                <c:pt idx="322">
                  <c:v>142.5</c:v>
                </c:pt>
                <c:pt idx="323">
                  <c:v>142.5</c:v>
                </c:pt>
                <c:pt idx="324">
                  <c:v>148</c:v>
                </c:pt>
                <c:pt idx="325">
                  <c:v>151</c:v>
                </c:pt>
                <c:pt idx="326">
                  <c:v>148.5</c:v>
                </c:pt>
                <c:pt idx="327">
                  <c:v>154</c:v>
                </c:pt>
                <c:pt idx="328">
                  <c:v>157.5</c:v>
                </c:pt>
                <c:pt idx="329">
                  <c:v>163.5</c:v>
                </c:pt>
                <c:pt idx="330">
                  <c:v>164</c:v>
                </c:pt>
                <c:pt idx="331">
                  <c:v>165</c:v>
                </c:pt>
                <c:pt idx="332">
                  <c:v>163.5</c:v>
                </c:pt>
                <c:pt idx="333">
                  <c:v>171.5</c:v>
                </c:pt>
                <c:pt idx="334">
                  <c:v>170.5</c:v>
                </c:pt>
                <c:pt idx="335">
                  <c:v>169</c:v>
                </c:pt>
                <c:pt idx="336">
                  <c:v>171</c:v>
                </c:pt>
                <c:pt idx="337">
                  <c:v>176</c:v>
                </c:pt>
                <c:pt idx="338">
                  <c:v>177.5</c:v>
                </c:pt>
                <c:pt idx="339">
                  <c:v>179.5</c:v>
                </c:pt>
                <c:pt idx="340">
                  <c:v>185</c:v>
                </c:pt>
                <c:pt idx="341">
                  <c:v>191</c:v>
                </c:pt>
                <c:pt idx="342">
                  <c:v>195</c:v>
                </c:pt>
                <c:pt idx="343">
                  <c:v>210</c:v>
                </c:pt>
                <c:pt idx="344">
                  <c:v>210</c:v>
                </c:pt>
                <c:pt idx="345">
                  <c:v>208.5</c:v>
                </c:pt>
                <c:pt idx="346">
                  <c:v>210</c:v>
                </c:pt>
                <c:pt idx="347">
                  <c:v>205</c:v>
                </c:pt>
                <c:pt idx="348">
                  <c:v>197.5</c:v>
                </c:pt>
                <c:pt idx="349">
                  <c:v>185</c:v>
                </c:pt>
                <c:pt idx="350">
                  <c:v>177.5</c:v>
                </c:pt>
                <c:pt idx="351">
                  <c:v>172.5</c:v>
                </c:pt>
                <c:pt idx="352">
                  <c:v>167.5</c:v>
                </c:pt>
                <c:pt idx="353">
                  <c:v>157.5</c:v>
                </c:pt>
                <c:pt idx="354">
                  <c:v>150</c:v>
                </c:pt>
                <c:pt idx="355">
                  <c:v>157</c:v>
                </c:pt>
                <c:pt idx="356">
                  <c:v>157.5</c:v>
                </c:pt>
                <c:pt idx="357">
                  <c:v>157.5</c:v>
                </c:pt>
                <c:pt idx="358">
                  <c:v>162.5</c:v>
                </c:pt>
                <c:pt idx="359">
                  <c:v>164</c:v>
                </c:pt>
                <c:pt idx="360">
                  <c:v>165</c:v>
                </c:pt>
                <c:pt idx="361">
                  <c:v>165</c:v>
                </c:pt>
                <c:pt idx="362">
                  <c:v>167.5</c:v>
                </c:pt>
                <c:pt idx="363">
                  <c:v>177.5</c:v>
                </c:pt>
                <c:pt idx="364">
                  <c:v>180</c:v>
                </c:pt>
                <c:pt idx="365">
                  <c:v>184.5</c:v>
                </c:pt>
                <c:pt idx="366">
                  <c:v>187.5</c:v>
                </c:pt>
                <c:pt idx="367">
                  <c:v>190</c:v>
                </c:pt>
                <c:pt idx="368">
                  <c:v>197</c:v>
                </c:pt>
                <c:pt idx="369">
                  <c:v>202.5</c:v>
                </c:pt>
                <c:pt idx="370">
                  <c:v>207.5</c:v>
                </c:pt>
                <c:pt idx="371">
                  <c:v>214.5</c:v>
                </c:pt>
                <c:pt idx="372">
                  <c:v>215.5</c:v>
                </c:pt>
                <c:pt idx="373">
                  <c:v>216.5</c:v>
                </c:pt>
                <c:pt idx="374">
                  <c:v>217.5</c:v>
                </c:pt>
                <c:pt idx="375">
                  <c:v>224</c:v>
                </c:pt>
                <c:pt idx="376">
                  <c:v>240.5</c:v>
                </c:pt>
                <c:pt idx="377">
                  <c:v>254</c:v>
                </c:pt>
                <c:pt idx="378">
                  <c:v>272.5</c:v>
                </c:pt>
                <c:pt idx="379">
                  <c:v>298.5</c:v>
                </c:pt>
                <c:pt idx="380">
                  <c:v>297</c:v>
                </c:pt>
                <c:pt idx="381">
                  <c:v>300.5</c:v>
                </c:pt>
                <c:pt idx="382">
                  <c:v>315</c:v>
                </c:pt>
                <c:pt idx="383">
                  <c:v>317.5</c:v>
                </c:pt>
                <c:pt idx="384">
                  <c:v>322.5</c:v>
                </c:pt>
                <c:pt idx="385">
                  <c:v>325</c:v>
                </c:pt>
                <c:pt idx="386">
                  <c:v>324</c:v>
                </c:pt>
                <c:pt idx="387">
                  <c:v>322.5</c:v>
                </c:pt>
                <c:pt idx="388">
                  <c:v>305</c:v>
                </c:pt>
                <c:pt idx="389">
                  <c:v>300</c:v>
                </c:pt>
                <c:pt idx="390">
                  <c:v>302.5</c:v>
                </c:pt>
                <c:pt idx="391">
                  <c:v>300</c:v>
                </c:pt>
                <c:pt idx="392">
                  <c:v>307.5</c:v>
                </c:pt>
                <c:pt idx="393">
                  <c:v>305</c:v>
                </c:pt>
                <c:pt idx="394">
                  <c:v>310</c:v>
                </c:pt>
                <c:pt idx="395">
                  <c:v>320</c:v>
                </c:pt>
                <c:pt idx="396">
                  <c:v>318.5</c:v>
                </c:pt>
                <c:pt idx="397">
                  <c:v>318.5</c:v>
                </c:pt>
                <c:pt idx="398">
                  <c:v>310</c:v>
                </c:pt>
                <c:pt idx="399">
                  <c:v>327.5</c:v>
                </c:pt>
                <c:pt idx="400">
                  <c:v>345</c:v>
                </c:pt>
                <c:pt idx="401">
                  <c:v>345</c:v>
                </c:pt>
                <c:pt idx="402">
                  <c:v>345</c:v>
                </c:pt>
                <c:pt idx="403">
                  <c:v>355</c:v>
                </c:pt>
                <c:pt idx="404">
                  <c:v>355</c:v>
                </c:pt>
                <c:pt idx="405">
                  <c:v>340</c:v>
                </c:pt>
                <c:pt idx="406">
                  <c:v>155</c:v>
                </c:pt>
                <c:pt idx="407">
                  <c:v>142.5</c:v>
                </c:pt>
                <c:pt idx="408">
                  <c:v>142.5</c:v>
                </c:pt>
                <c:pt idx="409">
                  <c:v>142.5</c:v>
                </c:pt>
                <c:pt idx="410">
                  <c:v>137.5</c:v>
                </c:pt>
                <c:pt idx="411">
                  <c:v>127.5</c:v>
                </c:pt>
                <c:pt idx="412">
                  <c:v>147.5</c:v>
                </c:pt>
                <c:pt idx="413">
                  <c:v>167.5</c:v>
                </c:pt>
                <c:pt idx="414">
                  <c:v>180</c:v>
                </c:pt>
                <c:pt idx="415">
                  <c:v>190</c:v>
                </c:pt>
                <c:pt idx="416">
                  <c:v>195</c:v>
                </c:pt>
                <c:pt idx="417">
                  <c:v>200</c:v>
                </c:pt>
                <c:pt idx="418">
                  <c:v>204</c:v>
                </c:pt>
                <c:pt idx="419">
                  <c:v>202.5</c:v>
                </c:pt>
                <c:pt idx="420">
                  <c:v>192.5</c:v>
                </c:pt>
                <c:pt idx="421">
                  <c:v>187.5</c:v>
                </c:pt>
                <c:pt idx="422">
                  <c:v>170</c:v>
                </c:pt>
                <c:pt idx="423">
                  <c:v>165</c:v>
                </c:pt>
                <c:pt idx="424">
                  <c:v>150</c:v>
                </c:pt>
                <c:pt idx="425">
                  <c:v>142.5</c:v>
                </c:pt>
                <c:pt idx="426">
                  <c:v>134</c:v>
                </c:pt>
                <c:pt idx="427">
                  <c:v>141.5</c:v>
                </c:pt>
                <c:pt idx="428">
                  <c:v>143.5</c:v>
                </c:pt>
                <c:pt idx="429">
                  <c:v>142.5</c:v>
                </c:pt>
                <c:pt idx="430">
                  <c:v>142.5</c:v>
                </c:pt>
                <c:pt idx="431">
                  <c:v>140.5</c:v>
                </c:pt>
                <c:pt idx="432">
                  <c:v>140</c:v>
                </c:pt>
                <c:pt idx="433">
                  <c:v>140</c:v>
                </c:pt>
                <c:pt idx="434">
                  <c:v>141</c:v>
                </c:pt>
                <c:pt idx="435">
                  <c:v>140.5</c:v>
                </c:pt>
                <c:pt idx="436">
                  <c:v>139</c:v>
                </c:pt>
                <c:pt idx="437">
                  <c:v>140</c:v>
                </c:pt>
                <c:pt idx="438">
                  <c:v>160.5</c:v>
                </c:pt>
                <c:pt idx="439">
                  <c:v>175</c:v>
                </c:pt>
                <c:pt idx="440">
                  <c:v>187</c:v>
                </c:pt>
                <c:pt idx="441">
                  <c:v>187.5</c:v>
                </c:pt>
                <c:pt idx="442">
                  <c:v>185.5</c:v>
                </c:pt>
                <c:pt idx="443">
                  <c:v>172</c:v>
                </c:pt>
                <c:pt idx="444">
                  <c:v>172</c:v>
                </c:pt>
                <c:pt idx="445">
                  <c:v>157.5</c:v>
                </c:pt>
                <c:pt idx="446">
                  <c:v>155.5</c:v>
                </c:pt>
                <c:pt idx="447">
                  <c:v>152</c:v>
                </c:pt>
                <c:pt idx="448">
                  <c:v>152</c:v>
                </c:pt>
                <c:pt idx="449">
                  <c:v>151</c:v>
                </c:pt>
                <c:pt idx="450">
                  <c:v>151</c:v>
                </c:pt>
                <c:pt idx="451">
                  <c:v>157.5</c:v>
                </c:pt>
                <c:pt idx="452">
                  <c:v>157</c:v>
                </c:pt>
                <c:pt idx="453">
                  <c:v>163.5</c:v>
                </c:pt>
                <c:pt idx="454">
                  <c:v>165</c:v>
                </c:pt>
                <c:pt idx="455">
                  <c:v>164.5</c:v>
                </c:pt>
                <c:pt idx="456">
                  <c:v>171.5</c:v>
                </c:pt>
                <c:pt idx="457">
                  <c:v>185</c:v>
                </c:pt>
                <c:pt idx="458">
                  <c:v>187.5</c:v>
                </c:pt>
                <c:pt idx="459">
                  <c:v>187.5</c:v>
                </c:pt>
                <c:pt idx="460">
                  <c:v>190</c:v>
                </c:pt>
                <c:pt idx="461">
                  <c:v>192.5</c:v>
                </c:pt>
                <c:pt idx="462">
                  <c:v>200</c:v>
                </c:pt>
                <c:pt idx="463">
                  <c:v>230</c:v>
                </c:pt>
                <c:pt idx="464">
                  <c:v>235</c:v>
                </c:pt>
                <c:pt idx="465">
                  <c:v>250</c:v>
                </c:pt>
                <c:pt idx="466">
                  <c:v>250</c:v>
                </c:pt>
                <c:pt idx="467">
                  <c:v>254</c:v>
                </c:pt>
                <c:pt idx="468">
                  <c:v>258.5</c:v>
                </c:pt>
                <c:pt idx="469">
                  <c:v>258.5</c:v>
                </c:pt>
                <c:pt idx="470">
                  <c:v>252.5</c:v>
                </c:pt>
                <c:pt idx="471">
                  <c:v>229</c:v>
                </c:pt>
                <c:pt idx="472">
                  <c:v>227.5</c:v>
                </c:pt>
                <c:pt idx="473">
                  <c:v>220</c:v>
                </c:pt>
                <c:pt idx="474">
                  <c:v>210</c:v>
                </c:pt>
                <c:pt idx="475">
                  <c:v>203</c:v>
                </c:pt>
                <c:pt idx="476">
                  <c:v>201.5</c:v>
                </c:pt>
                <c:pt idx="477">
                  <c:v>200</c:v>
                </c:pt>
                <c:pt idx="478">
                  <c:v>180</c:v>
                </c:pt>
                <c:pt idx="479">
                  <c:v>175</c:v>
                </c:pt>
                <c:pt idx="480">
                  <c:v>167.5</c:v>
                </c:pt>
                <c:pt idx="481">
                  <c:v>162.5</c:v>
                </c:pt>
                <c:pt idx="482">
                  <c:v>162.5</c:v>
                </c:pt>
                <c:pt idx="483">
                  <c:v>175.5</c:v>
                </c:pt>
                <c:pt idx="484">
                  <c:v>178.5</c:v>
                </c:pt>
                <c:pt idx="485">
                  <c:v>187.5</c:v>
                </c:pt>
                <c:pt idx="486">
                  <c:v>205</c:v>
                </c:pt>
                <c:pt idx="487">
                  <c:v>205</c:v>
                </c:pt>
                <c:pt idx="488">
                  <c:v>210</c:v>
                </c:pt>
                <c:pt idx="489">
                  <c:v>212.5</c:v>
                </c:pt>
                <c:pt idx="490">
                  <c:v>210</c:v>
                </c:pt>
                <c:pt idx="491">
                  <c:v>207.5</c:v>
                </c:pt>
                <c:pt idx="492">
                  <c:v>212.5</c:v>
                </c:pt>
                <c:pt idx="493">
                  <c:v>215</c:v>
                </c:pt>
                <c:pt idx="494">
                  <c:v>216</c:v>
                </c:pt>
                <c:pt idx="495">
                  <c:v>217.5</c:v>
                </c:pt>
                <c:pt idx="496">
                  <c:v>227.5</c:v>
                </c:pt>
                <c:pt idx="497">
                  <c:v>250</c:v>
                </c:pt>
                <c:pt idx="498">
                  <c:v>252.5</c:v>
                </c:pt>
                <c:pt idx="499">
                  <c:v>252.5</c:v>
                </c:pt>
                <c:pt idx="500">
                  <c:v>252.5</c:v>
                </c:pt>
                <c:pt idx="501">
                  <c:v>257.5</c:v>
                </c:pt>
                <c:pt idx="502">
                  <c:v>250.5</c:v>
                </c:pt>
                <c:pt idx="503">
                  <c:v>251.5</c:v>
                </c:pt>
                <c:pt idx="504">
                  <c:v>257.5</c:v>
                </c:pt>
                <c:pt idx="505">
                  <c:v>271</c:v>
                </c:pt>
                <c:pt idx="506">
                  <c:v>274</c:v>
                </c:pt>
                <c:pt idx="507">
                  <c:v>298.5</c:v>
                </c:pt>
                <c:pt idx="508">
                  <c:v>302.5</c:v>
                </c:pt>
                <c:pt idx="509">
                  <c:v>305</c:v>
                </c:pt>
                <c:pt idx="510">
                  <c:v>305</c:v>
                </c:pt>
                <c:pt idx="511">
                  <c:v>300</c:v>
                </c:pt>
                <c:pt idx="512">
                  <c:v>297.5</c:v>
                </c:pt>
                <c:pt idx="513">
                  <c:v>300</c:v>
                </c:pt>
                <c:pt idx="514">
                  <c:v>297.5</c:v>
                </c:pt>
                <c:pt idx="515">
                  <c:v>297.5</c:v>
                </c:pt>
                <c:pt idx="516">
                  <c:v>303.5</c:v>
                </c:pt>
                <c:pt idx="517">
                  <c:v>302.5</c:v>
                </c:pt>
                <c:pt idx="518">
                  <c:v>298.5</c:v>
                </c:pt>
                <c:pt idx="519">
                  <c:v>290</c:v>
                </c:pt>
                <c:pt idx="520">
                  <c:v>290</c:v>
                </c:pt>
                <c:pt idx="521">
                  <c:v>295</c:v>
                </c:pt>
                <c:pt idx="522">
                  <c:v>290</c:v>
                </c:pt>
                <c:pt idx="523">
                  <c:v>285</c:v>
                </c:pt>
                <c:pt idx="524">
                  <c:v>280</c:v>
                </c:pt>
                <c:pt idx="525">
                  <c:v>280</c:v>
                </c:pt>
                <c:pt idx="526">
                  <c:v>270</c:v>
                </c:pt>
                <c:pt idx="527">
                  <c:v>261.5</c:v>
                </c:pt>
                <c:pt idx="528">
                  <c:v>265</c:v>
                </c:pt>
                <c:pt idx="529">
                  <c:v>277.5</c:v>
                </c:pt>
                <c:pt idx="530">
                  <c:v>285</c:v>
                </c:pt>
                <c:pt idx="531">
                  <c:v>295</c:v>
                </c:pt>
                <c:pt idx="532">
                  <c:v>320.5</c:v>
                </c:pt>
                <c:pt idx="533">
                  <c:v>330.5</c:v>
                </c:pt>
                <c:pt idx="534">
                  <c:v>342.5</c:v>
                </c:pt>
                <c:pt idx="535">
                  <c:v>360</c:v>
                </c:pt>
                <c:pt idx="536">
                  <c:v>365</c:v>
                </c:pt>
                <c:pt idx="537">
                  <c:v>377.5</c:v>
                </c:pt>
                <c:pt idx="538">
                  <c:v>345</c:v>
                </c:pt>
                <c:pt idx="539">
                  <c:v>300</c:v>
                </c:pt>
                <c:pt idx="540">
                  <c:v>315</c:v>
                </c:pt>
                <c:pt idx="541">
                  <c:v>324.5</c:v>
                </c:pt>
                <c:pt idx="542">
                  <c:v>330</c:v>
                </c:pt>
                <c:pt idx="543">
                  <c:v>320</c:v>
                </c:pt>
                <c:pt idx="544">
                  <c:v>292.5</c:v>
                </c:pt>
                <c:pt idx="545">
                  <c:v>305</c:v>
                </c:pt>
                <c:pt idx="546">
                  <c:v>317.5</c:v>
                </c:pt>
                <c:pt idx="547">
                  <c:v>315</c:v>
                </c:pt>
                <c:pt idx="548">
                  <c:v>327.5</c:v>
                </c:pt>
                <c:pt idx="549">
                  <c:v>330</c:v>
                </c:pt>
                <c:pt idx="550">
                  <c:v>335</c:v>
                </c:pt>
                <c:pt idx="551">
                  <c:v>330</c:v>
                </c:pt>
                <c:pt idx="552">
                  <c:v>327.5</c:v>
                </c:pt>
                <c:pt idx="553">
                  <c:v>325</c:v>
                </c:pt>
                <c:pt idx="554">
                  <c:v>323.5</c:v>
                </c:pt>
                <c:pt idx="555">
                  <c:v>320.5</c:v>
                </c:pt>
                <c:pt idx="556">
                  <c:v>316</c:v>
                </c:pt>
                <c:pt idx="557">
                  <c:v>315</c:v>
                </c:pt>
                <c:pt idx="558">
                  <c:v>315</c:v>
                </c:pt>
                <c:pt idx="559">
                  <c:v>300</c:v>
                </c:pt>
                <c:pt idx="560">
                  <c:v>275</c:v>
                </c:pt>
                <c:pt idx="561">
                  <c:v>257.5</c:v>
                </c:pt>
                <c:pt idx="562">
                  <c:v>255</c:v>
                </c:pt>
                <c:pt idx="563">
                  <c:v>255</c:v>
                </c:pt>
                <c:pt idx="564">
                  <c:v>275</c:v>
                </c:pt>
                <c:pt idx="565">
                  <c:v>295</c:v>
                </c:pt>
                <c:pt idx="566">
                  <c:v>302.5</c:v>
                </c:pt>
                <c:pt idx="567">
                  <c:v>295</c:v>
                </c:pt>
                <c:pt idx="568">
                  <c:v>302.5</c:v>
                </c:pt>
                <c:pt idx="569">
                  <c:v>305</c:v>
                </c:pt>
                <c:pt idx="570">
                  <c:v>295</c:v>
                </c:pt>
                <c:pt idx="571">
                  <c:v>295</c:v>
                </c:pt>
                <c:pt idx="572">
                  <c:v>295</c:v>
                </c:pt>
                <c:pt idx="573">
                  <c:v>295</c:v>
                </c:pt>
                <c:pt idx="574">
                  <c:v>302.5</c:v>
                </c:pt>
                <c:pt idx="575">
                  <c:v>307.5</c:v>
                </c:pt>
                <c:pt idx="576">
                  <c:v>310</c:v>
                </c:pt>
                <c:pt idx="577">
                  <c:v>325</c:v>
                </c:pt>
                <c:pt idx="578">
                  <c:v>329</c:v>
                </c:pt>
                <c:pt idx="579">
                  <c:v>336.5</c:v>
                </c:pt>
                <c:pt idx="580">
                  <c:v>345</c:v>
                </c:pt>
                <c:pt idx="581">
                  <c:v>350</c:v>
                </c:pt>
                <c:pt idx="582">
                  <c:v>357.5</c:v>
                </c:pt>
                <c:pt idx="583">
                  <c:v>345</c:v>
                </c:pt>
                <c:pt idx="584">
                  <c:v>335</c:v>
                </c:pt>
                <c:pt idx="585">
                  <c:v>330</c:v>
                </c:pt>
                <c:pt idx="586">
                  <c:v>315</c:v>
                </c:pt>
                <c:pt idx="587">
                  <c:v>292.5</c:v>
                </c:pt>
                <c:pt idx="588">
                  <c:v>267.5</c:v>
                </c:pt>
                <c:pt idx="589">
                  <c:v>252</c:v>
                </c:pt>
                <c:pt idx="590">
                  <c:v>250</c:v>
                </c:pt>
                <c:pt idx="591">
                  <c:v>275</c:v>
                </c:pt>
                <c:pt idx="592">
                  <c:v>272.5</c:v>
                </c:pt>
                <c:pt idx="593">
                  <c:v>262.5</c:v>
                </c:pt>
                <c:pt idx="594">
                  <c:v>262.5</c:v>
                </c:pt>
                <c:pt idx="595">
                  <c:v>265.5</c:v>
                </c:pt>
                <c:pt idx="596">
                  <c:v>262.5</c:v>
                </c:pt>
                <c:pt idx="597">
                  <c:v>260.5</c:v>
                </c:pt>
                <c:pt idx="598">
                  <c:v>264</c:v>
                </c:pt>
                <c:pt idx="599">
                  <c:v>264</c:v>
                </c:pt>
                <c:pt idx="600">
                  <c:v>265</c:v>
                </c:pt>
                <c:pt idx="601">
                  <c:v>280</c:v>
                </c:pt>
                <c:pt idx="602">
                  <c:v>310</c:v>
                </c:pt>
                <c:pt idx="603">
                  <c:v>310</c:v>
                </c:pt>
                <c:pt idx="604">
                  <c:v>310</c:v>
                </c:pt>
                <c:pt idx="605">
                  <c:v>305</c:v>
                </c:pt>
                <c:pt idx="606">
                  <c:v>315</c:v>
                </c:pt>
                <c:pt idx="607">
                  <c:v>305</c:v>
                </c:pt>
                <c:pt idx="608">
                  <c:v>290</c:v>
                </c:pt>
                <c:pt idx="609">
                  <c:v>285</c:v>
                </c:pt>
                <c:pt idx="610">
                  <c:v>285</c:v>
                </c:pt>
                <c:pt idx="611">
                  <c:v>297</c:v>
                </c:pt>
                <c:pt idx="612">
                  <c:v>300</c:v>
                </c:pt>
                <c:pt idx="613">
                  <c:v>307.5</c:v>
                </c:pt>
                <c:pt idx="614">
                  <c:v>307.5</c:v>
                </c:pt>
                <c:pt idx="615">
                  <c:v>307.5</c:v>
                </c:pt>
                <c:pt idx="616">
                  <c:v>307</c:v>
                </c:pt>
                <c:pt idx="617">
                  <c:v>310</c:v>
                </c:pt>
                <c:pt idx="618">
                  <c:v>311</c:v>
                </c:pt>
                <c:pt idx="619">
                  <c:v>314</c:v>
                </c:pt>
                <c:pt idx="620">
                  <c:v>320.5</c:v>
                </c:pt>
                <c:pt idx="621">
                  <c:v>342.5</c:v>
                </c:pt>
                <c:pt idx="622">
                  <c:v>357.5</c:v>
                </c:pt>
                <c:pt idx="623">
                  <c:v>357.5</c:v>
                </c:pt>
                <c:pt idx="624">
                  <c:v>355</c:v>
                </c:pt>
                <c:pt idx="625">
                  <c:v>350</c:v>
                </c:pt>
                <c:pt idx="626">
                  <c:v>345</c:v>
                </c:pt>
                <c:pt idx="627">
                  <c:v>342.5</c:v>
                </c:pt>
                <c:pt idx="628">
                  <c:v>342.5</c:v>
                </c:pt>
                <c:pt idx="629">
                  <c:v>342.5</c:v>
                </c:pt>
                <c:pt idx="630">
                  <c:v>310</c:v>
                </c:pt>
                <c:pt idx="631">
                  <c:v>297.5</c:v>
                </c:pt>
                <c:pt idx="632">
                  <c:v>292.5</c:v>
                </c:pt>
                <c:pt idx="633">
                  <c:v>267.5</c:v>
                </c:pt>
                <c:pt idx="634">
                  <c:v>262.5</c:v>
                </c:pt>
                <c:pt idx="635">
                  <c:v>257.5</c:v>
                </c:pt>
                <c:pt idx="636">
                  <c:v>252.5</c:v>
                </c:pt>
                <c:pt idx="637">
                  <c:v>252.5</c:v>
                </c:pt>
                <c:pt idx="638">
                  <c:v>250.5</c:v>
                </c:pt>
                <c:pt idx="639">
                  <c:v>242.5</c:v>
                </c:pt>
                <c:pt idx="640">
                  <c:v>252.5</c:v>
                </c:pt>
                <c:pt idx="641">
                  <c:v>256.5</c:v>
                </c:pt>
                <c:pt idx="642">
                  <c:v>256.5</c:v>
                </c:pt>
                <c:pt idx="643">
                  <c:v>265</c:v>
                </c:pt>
                <c:pt idx="644">
                  <c:v>267.5</c:v>
                </c:pt>
                <c:pt idx="645">
                  <c:v>267.5</c:v>
                </c:pt>
                <c:pt idx="646">
                  <c:v>272.5</c:v>
                </c:pt>
                <c:pt idx="647">
                  <c:v>267.5</c:v>
                </c:pt>
                <c:pt idx="648">
                  <c:v>262.5</c:v>
                </c:pt>
                <c:pt idx="649">
                  <c:v>252.5</c:v>
                </c:pt>
                <c:pt idx="650">
                  <c:v>257.5</c:v>
                </c:pt>
                <c:pt idx="651">
                  <c:v>255</c:v>
                </c:pt>
                <c:pt idx="652">
                  <c:v>255</c:v>
                </c:pt>
                <c:pt idx="653">
                  <c:v>262.5</c:v>
                </c:pt>
                <c:pt idx="654">
                  <c:v>261.5</c:v>
                </c:pt>
                <c:pt idx="655">
                  <c:v>270.5</c:v>
                </c:pt>
                <c:pt idx="656">
                  <c:v>271.5</c:v>
                </c:pt>
                <c:pt idx="657">
                  <c:v>272.5</c:v>
                </c:pt>
                <c:pt idx="658">
                  <c:v>269.5</c:v>
                </c:pt>
                <c:pt idx="659">
                  <c:v>272</c:v>
                </c:pt>
                <c:pt idx="660">
                  <c:v>273</c:v>
                </c:pt>
                <c:pt idx="661">
                  <c:v>276.5</c:v>
                </c:pt>
                <c:pt idx="662">
                  <c:v>277.5</c:v>
                </c:pt>
                <c:pt idx="663">
                  <c:v>277.5</c:v>
                </c:pt>
                <c:pt idx="664">
                  <c:v>280.5</c:v>
                </c:pt>
                <c:pt idx="665">
                  <c:v>281.5</c:v>
                </c:pt>
                <c:pt idx="666">
                  <c:v>282.5</c:v>
                </c:pt>
                <c:pt idx="667">
                  <c:v>282.5</c:v>
                </c:pt>
                <c:pt idx="668">
                  <c:v>282.5</c:v>
                </c:pt>
                <c:pt idx="669">
                  <c:v>295</c:v>
                </c:pt>
                <c:pt idx="670">
                  <c:v>307.5</c:v>
                </c:pt>
                <c:pt idx="671">
                  <c:v>310</c:v>
                </c:pt>
                <c:pt idx="672">
                  <c:v>317.5</c:v>
                </c:pt>
                <c:pt idx="673">
                  <c:v>317.5</c:v>
                </c:pt>
                <c:pt idx="674">
                  <c:v>317.5</c:v>
                </c:pt>
                <c:pt idx="675">
                  <c:v>317.5</c:v>
                </c:pt>
                <c:pt idx="676">
                  <c:v>317.5</c:v>
                </c:pt>
                <c:pt idx="677">
                  <c:v>317.5</c:v>
                </c:pt>
                <c:pt idx="678">
                  <c:v>302.5</c:v>
                </c:pt>
                <c:pt idx="679">
                  <c:v>279</c:v>
                </c:pt>
                <c:pt idx="680">
                  <c:v>277.5</c:v>
                </c:pt>
                <c:pt idx="681">
                  <c:v>270</c:v>
                </c:pt>
                <c:pt idx="682">
                  <c:v>267.5</c:v>
                </c:pt>
                <c:pt idx="683">
                  <c:v>262.5</c:v>
                </c:pt>
                <c:pt idx="684">
                  <c:v>262.5</c:v>
                </c:pt>
                <c:pt idx="685">
                  <c:v>253.5</c:v>
                </c:pt>
                <c:pt idx="686">
                  <c:v>252.5</c:v>
                </c:pt>
                <c:pt idx="687">
                  <c:v>252.5</c:v>
                </c:pt>
                <c:pt idx="688">
                  <c:v>252.5</c:v>
                </c:pt>
                <c:pt idx="689">
                  <c:v>250</c:v>
                </c:pt>
                <c:pt idx="690">
                  <c:v>252.5</c:v>
                </c:pt>
                <c:pt idx="691">
                  <c:v>252.5</c:v>
                </c:pt>
                <c:pt idx="692">
                  <c:v>260</c:v>
                </c:pt>
                <c:pt idx="693">
                  <c:v>261.5</c:v>
                </c:pt>
                <c:pt idx="694">
                  <c:v>261.5</c:v>
                </c:pt>
                <c:pt idx="695">
                  <c:v>261.5</c:v>
                </c:pt>
                <c:pt idx="696">
                  <c:v>261.5</c:v>
                </c:pt>
                <c:pt idx="697">
                  <c:v>261.5</c:v>
                </c:pt>
                <c:pt idx="698">
                  <c:v>270</c:v>
                </c:pt>
                <c:pt idx="699">
                  <c:v>270</c:v>
                </c:pt>
                <c:pt idx="700">
                  <c:v>270</c:v>
                </c:pt>
                <c:pt idx="701">
                  <c:v>274.5</c:v>
                </c:pt>
                <c:pt idx="702">
                  <c:v>283</c:v>
                </c:pt>
                <c:pt idx="703">
                  <c:v>284</c:v>
                </c:pt>
                <c:pt idx="704">
                  <c:v>284</c:v>
                </c:pt>
                <c:pt idx="705">
                  <c:v>285</c:v>
                </c:pt>
                <c:pt idx="706">
                  <c:v>280</c:v>
                </c:pt>
                <c:pt idx="707">
                  <c:v>280</c:v>
                </c:pt>
                <c:pt idx="708">
                  <c:v>280</c:v>
                </c:pt>
                <c:pt idx="709">
                  <c:v>277.5</c:v>
                </c:pt>
                <c:pt idx="710">
                  <c:v>278.5</c:v>
                </c:pt>
                <c:pt idx="711">
                  <c:v>277</c:v>
                </c:pt>
                <c:pt idx="712">
                  <c:v>277</c:v>
                </c:pt>
                <c:pt idx="713">
                  <c:v>278</c:v>
                </c:pt>
                <c:pt idx="714">
                  <c:v>277.5</c:v>
                </c:pt>
                <c:pt idx="715">
                  <c:v>277.5</c:v>
                </c:pt>
                <c:pt idx="716">
                  <c:v>281.5</c:v>
                </c:pt>
                <c:pt idx="717">
                  <c:v>284.5</c:v>
                </c:pt>
                <c:pt idx="718">
                  <c:v>284.5</c:v>
                </c:pt>
                <c:pt idx="719">
                  <c:v>284.5</c:v>
                </c:pt>
                <c:pt idx="720">
                  <c:v>282.5</c:v>
                </c:pt>
                <c:pt idx="721">
                  <c:v>284.5</c:v>
                </c:pt>
                <c:pt idx="722">
                  <c:v>285.5</c:v>
                </c:pt>
                <c:pt idx="723">
                  <c:v>282.5</c:v>
                </c:pt>
                <c:pt idx="724">
                  <c:v>282.5</c:v>
                </c:pt>
                <c:pt idx="725">
                  <c:v>282</c:v>
                </c:pt>
                <c:pt idx="726">
                  <c:v>280</c:v>
                </c:pt>
                <c:pt idx="727">
                  <c:v>272.5</c:v>
                </c:pt>
                <c:pt idx="728">
                  <c:v>272.5</c:v>
                </c:pt>
                <c:pt idx="729">
                  <c:v>260</c:v>
                </c:pt>
                <c:pt idx="730">
                  <c:v>252.5</c:v>
                </c:pt>
                <c:pt idx="731">
                  <c:v>250.5</c:v>
                </c:pt>
                <c:pt idx="732">
                  <c:v>250.5</c:v>
                </c:pt>
                <c:pt idx="733">
                  <c:v>233</c:v>
                </c:pt>
                <c:pt idx="734">
                  <c:v>220</c:v>
                </c:pt>
                <c:pt idx="735">
                  <c:v>215.5</c:v>
                </c:pt>
                <c:pt idx="736">
                  <c:v>202.5</c:v>
                </c:pt>
                <c:pt idx="737">
                  <c:v>202.5</c:v>
                </c:pt>
                <c:pt idx="738">
                  <c:v>205</c:v>
                </c:pt>
                <c:pt idx="739">
                  <c:v>207.5</c:v>
                </c:pt>
                <c:pt idx="740">
                  <c:v>206.5</c:v>
                </c:pt>
                <c:pt idx="741">
                  <c:v>205.5</c:v>
                </c:pt>
                <c:pt idx="742">
                  <c:v>205.5</c:v>
                </c:pt>
                <c:pt idx="743">
                  <c:v>209</c:v>
                </c:pt>
                <c:pt idx="744">
                  <c:v>202.5</c:v>
                </c:pt>
                <c:pt idx="745">
                  <c:v>202.5</c:v>
                </c:pt>
                <c:pt idx="746">
                  <c:v>197.5</c:v>
                </c:pt>
                <c:pt idx="747">
                  <c:v>192.5</c:v>
                </c:pt>
                <c:pt idx="748">
                  <c:v>189.5</c:v>
                </c:pt>
                <c:pt idx="749">
                  <c:v>185.5</c:v>
                </c:pt>
                <c:pt idx="750">
                  <c:v>188</c:v>
                </c:pt>
                <c:pt idx="751">
                  <c:v>190</c:v>
                </c:pt>
                <c:pt idx="752">
                  <c:v>197.5</c:v>
                </c:pt>
                <c:pt idx="753">
                  <c:v>202</c:v>
                </c:pt>
                <c:pt idx="754">
                  <c:v>195.5</c:v>
                </c:pt>
                <c:pt idx="755">
                  <c:v>194.5</c:v>
                </c:pt>
                <c:pt idx="756">
                  <c:v>192.5</c:v>
                </c:pt>
                <c:pt idx="757">
                  <c:v>190.5</c:v>
                </c:pt>
                <c:pt idx="758">
                  <c:v>187.5</c:v>
                </c:pt>
                <c:pt idx="759">
                  <c:v>183.5</c:v>
                </c:pt>
                <c:pt idx="760">
                  <c:v>190</c:v>
                </c:pt>
                <c:pt idx="761">
                  <c:v>194.5</c:v>
                </c:pt>
                <c:pt idx="762">
                  <c:v>203.5</c:v>
                </c:pt>
                <c:pt idx="763">
                  <c:v>210</c:v>
                </c:pt>
                <c:pt idx="764">
                  <c:v>205</c:v>
                </c:pt>
                <c:pt idx="765">
                  <c:v>200</c:v>
                </c:pt>
                <c:pt idx="766">
                  <c:v>200</c:v>
                </c:pt>
                <c:pt idx="767">
                  <c:v>197.5</c:v>
                </c:pt>
                <c:pt idx="768">
                  <c:v>198</c:v>
                </c:pt>
                <c:pt idx="769">
                  <c:v>201.5</c:v>
                </c:pt>
                <c:pt idx="770">
                  <c:v>200.5</c:v>
                </c:pt>
                <c:pt idx="771">
                  <c:v>200.5</c:v>
                </c:pt>
                <c:pt idx="772">
                  <c:v>197.5</c:v>
                </c:pt>
                <c:pt idx="773">
                  <c:v>195</c:v>
                </c:pt>
                <c:pt idx="774">
                  <c:v>190</c:v>
                </c:pt>
                <c:pt idx="775">
                  <c:v>185</c:v>
                </c:pt>
                <c:pt idx="776">
                  <c:v>182.5</c:v>
                </c:pt>
                <c:pt idx="777">
                  <c:v>177.5</c:v>
                </c:pt>
                <c:pt idx="778">
                  <c:v>180</c:v>
                </c:pt>
                <c:pt idx="779">
                  <c:v>180</c:v>
                </c:pt>
                <c:pt idx="780">
                  <c:v>180</c:v>
                </c:pt>
                <c:pt idx="781">
                  <c:v>177.5</c:v>
                </c:pt>
                <c:pt idx="782">
                  <c:v>172.5</c:v>
                </c:pt>
                <c:pt idx="783">
                  <c:v>172.5</c:v>
                </c:pt>
                <c:pt idx="784">
                  <c:v>172.5</c:v>
                </c:pt>
                <c:pt idx="785">
                  <c:v>172.5</c:v>
                </c:pt>
                <c:pt idx="786">
                  <c:v>172.5</c:v>
                </c:pt>
                <c:pt idx="787">
                  <c:v>166</c:v>
                </c:pt>
                <c:pt idx="788">
                  <c:v>162.5</c:v>
                </c:pt>
                <c:pt idx="789">
                  <c:v>152.5</c:v>
                </c:pt>
                <c:pt idx="790">
                  <c:v>150.5</c:v>
                </c:pt>
                <c:pt idx="791">
                  <c:v>147.5</c:v>
                </c:pt>
                <c:pt idx="792">
                  <c:v>147.5</c:v>
                </c:pt>
                <c:pt idx="793">
                  <c:v>147.5</c:v>
                </c:pt>
                <c:pt idx="794">
                  <c:v>140.5</c:v>
                </c:pt>
                <c:pt idx="795">
                  <c:v>139.5</c:v>
                </c:pt>
                <c:pt idx="796">
                  <c:v>138.5</c:v>
                </c:pt>
                <c:pt idx="797">
                  <c:v>134.5</c:v>
                </c:pt>
                <c:pt idx="798">
                  <c:v>134.5</c:v>
                </c:pt>
                <c:pt idx="799">
                  <c:v>134.5</c:v>
                </c:pt>
                <c:pt idx="800">
                  <c:v>134.5</c:v>
                </c:pt>
                <c:pt idx="801">
                  <c:v>134.5</c:v>
                </c:pt>
                <c:pt idx="802">
                  <c:v>133.5</c:v>
                </c:pt>
                <c:pt idx="803">
                  <c:v>137.5</c:v>
                </c:pt>
                <c:pt idx="804">
                  <c:v>137.5</c:v>
                </c:pt>
                <c:pt idx="805">
                  <c:v>142.5</c:v>
                </c:pt>
                <c:pt idx="806">
                  <c:v>145.5</c:v>
                </c:pt>
                <c:pt idx="807">
                  <c:v>145.5</c:v>
                </c:pt>
                <c:pt idx="808">
                  <c:v>152</c:v>
                </c:pt>
                <c:pt idx="809">
                  <c:v>152.5</c:v>
                </c:pt>
                <c:pt idx="810">
                  <c:v>155</c:v>
                </c:pt>
                <c:pt idx="811">
                  <c:v>155</c:v>
                </c:pt>
                <c:pt idx="812">
                  <c:v>159.5</c:v>
                </c:pt>
                <c:pt idx="813">
                  <c:v>170.5</c:v>
                </c:pt>
                <c:pt idx="814">
                  <c:v>175.5</c:v>
                </c:pt>
                <c:pt idx="815">
                  <c:v>175.5</c:v>
                </c:pt>
                <c:pt idx="816">
                  <c:v>187.5</c:v>
                </c:pt>
                <c:pt idx="817">
                  <c:v>187.5</c:v>
                </c:pt>
                <c:pt idx="818">
                  <c:v>187.5</c:v>
                </c:pt>
                <c:pt idx="819">
                  <c:v>177.5</c:v>
                </c:pt>
                <c:pt idx="820">
                  <c:v>180.5</c:v>
                </c:pt>
                <c:pt idx="821">
                  <c:v>180.5</c:v>
                </c:pt>
                <c:pt idx="822">
                  <c:v>182.5</c:v>
                </c:pt>
                <c:pt idx="823">
                  <c:v>182.5</c:v>
                </c:pt>
                <c:pt idx="824">
                  <c:v>190</c:v>
                </c:pt>
                <c:pt idx="825">
                  <c:v>192.5</c:v>
                </c:pt>
                <c:pt idx="826">
                  <c:v>200.5</c:v>
                </c:pt>
                <c:pt idx="827">
                  <c:v>202.5</c:v>
                </c:pt>
                <c:pt idx="828">
                  <c:v>205</c:v>
                </c:pt>
              </c:numCache>
            </c:numRef>
          </c:yVal>
          <c:smooth val="0"/>
        </c:ser>
        <c:dLbls>
          <c:showLegendKey val="0"/>
          <c:showVal val="0"/>
          <c:showCatName val="0"/>
          <c:showSerName val="0"/>
          <c:showPercent val="0"/>
          <c:showBubbleSize val="0"/>
        </c:dLbls>
        <c:axId val="536183728"/>
        <c:axId val="536181376"/>
      </c:scatterChart>
      <c:valAx>
        <c:axId val="536183728"/>
        <c:scaling>
          <c:orientation val="minMax"/>
          <c:min val="200"/>
        </c:scaling>
        <c:delete val="0"/>
        <c:axPos val="b"/>
        <c:numFmt formatCode="_-* #,##0_-;\-* #,##0_-;_-* &quot;-&quot;??_-;_-@_-" sourceLinked="1"/>
        <c:majorTickMark val="out"/>
        <c:minorTickMark val="none"/>
        <c:tickLblPos val="nextTo"/>
        <c:crossAx val="536181376"/>
        <c:crosses val="autoZero"/>
        <c:crossBetween val="midCat"/>
      </c:valAx>
      <c:valAx>
        <c:axId val="536181376"/>
        <c:scaling>
          <c:orientation val="minMax"/>
          <c:min val="100"/>
        </c:scaling>
        <c:delete val="0"/>
        <c:axPos val="l"/>
        <c:numFmt formatCode="0" sourceLinked="1"/>
        <c:majorTickMark val="out"/>
        <c:minorTickMark val="none"/>
        <c:tickLblPos val="nextTo"/>
        <c:crossAx val="536183728"/>
        <c:crosses val="autoZero"/>
        <c:crossBetween val="midCat"/>
      </c:valAx>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Лист1!$A$6</c:f>
          <c:strCache>
            <c:ptCount val="1"/>
            <c:pt idx="0">
              <c:v>SHEQ=ASIS + new projects</c:v>
            </c:pt>
          </c:strCache>
        </c:strRef>
      </c:tx>
      <c:overlay val="0"/>
      <c:txPr>
        <a:bodyPr/>
        <a:lstStyle/>
        <a:p>
          <a:pPr>
            <a:defRPr sz="1200"/>
          </a:pPr>
          <a:endParaRPr lang="ru-RU"/>
        </a:p>
      </c:txPr>
    </c:title>
    <c:autoTitleDeleted val="0"/>
    <c:plotArea>
      <c:layout>
        <c:manualLayout>
          <c:layoutTarget val="inner"/>
          <c:xMode val="edge"/>
          <c:yMode val="edge"/>
          <c:x val="9.1849518810148731E-2"/>
          <c:y val="0.2088079615048119"/>
          <c:w val="0.87003915135608034"/>
          <c:h val="0.67521216097987746"/>
        </c:manualLayout>
      </c:layout>
      <c:lineChart>
        <c:grouping val="standard"/>
        <c:varyColors val="0"/>
        <c:ser>
          <c:idx val="0"/>
          <c:order val="0"/>
          <c:tx>
            <c:strRef>
              <c:f>Лист1!$A$11</c:f>
              <c:strCache>
                <c:ptCount val="1"/>
                <c:pt idx="0">
                  <c:v>ROIC</c:v>
                </c:pt>
              </c:strCache>
            </c:strRef>
          </c:tx>
          <c:spPr>
            <a:ln w="25400">
              <a:solidFill>
                <a:schemeClr val="tx2"/>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Лист1!$F$11:$Q$11</c:f>
              <c:numCache>
                <c:formatCode>0.0%</c:formatCode>
                <c:ptCount val="12"/>
                <c:pt idx="0">
                  <c:v>5.38220053377403E-2</c:v>
                </c:pt>
                <c:pt idx="1">
                  <c:v>8.2262643790730519E-2</c:v>
                </c:pt>
                <c:pt idx="2">
                  <c:v>0.15792554240760062</c:v>
                </c:pt>
                <c:pt idx="3">
                  <c:v>0.10254445189454914</c:v>
                </c:pt>
                <c:pt idx="4">
                  <c:v>8.2905756156925942E-2</c:v>
                </c:pt>
                <c:pt idx="5">
                  <c:v>0.11091405908825605</c:v>
                </c:pt>
                <c:pt idx="6">
                  <c:v>0.17753256162684217</c:v>
                </c:pt>
                <c:pt idx="7">
                  <c:v>0.12032145947361028</c:v>
                </c:pt>
                <c:pt idx="8">
                  <c:v>0.12469203546276676</c:v>
                </c:pt>
                <c:pt idx="9">
                  <c:v>0.12109964429245276</c:v>
                </c:pt>
                <c:pt idx="10">
                  <c:v>0.12391511457174019</c:v>
                </c:pt>
                <c:pt idx="11">
                  <c:v>0.12743131985426451</c:v>
                </c:pt>
              </c:numCache>
            </c:numRef>
          </c:val>
          <c:smooth val="0"/>
        </c:ser>
        <c:ser>
          <c:idx val="1"/>
          <c:order val="1"/>
          <c:tx>
            <c:strRef>
              <c:f>Лист1!$A$12</c:f>
              <c:strCache>
                <c:ptCount val="1"/>
                <c:pt idx="0">
                  <c:v>ROAE</c:v>
                </c:pt>
              </c:strCache>
            </c:strRef>
          </c:tx>
          <c:spPr>
            <a:ln w="25400">
              <a:solidFill>
                <a:srgbClr val="C00000"/>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Лист1!$F$12:$Q$12</c:f>
              <c:numCache>
                <c:formatCode>0.0%</c:formatCode>
                <c:ptCount val="12"/>
                <c:pt idx="0">
                  <c:v>0.17391498397838789</c:v>
                </c:pt>
                <c:pt idx="1">
                  <c:v>0.19695956638014711</c:v>
                </c:pt>
                <c:pt idx="2">
                  <c:v>0.30611170051250813</c:v>
                </c:pt>
                <c:pt idx="3">
                  <c:v>0.23355300844970658</c:v>
                </c:pt>
                <c:pt idx="4">
                  <c:v>0.12772547244818619</c:v>
                </c:pt>
                <c:pt idx="5">
                  <c:v>0.20769402216051486</c:v>
                </c:pt>
                <c:pt idx="6">
                  <c:v>0.39968915544489253</c:v>
                </c:pt>
                <c:pt idx="7">
                  <c:v>0.23429375958730403</c:v>
                </c:pt>
                <c:pt idx="8">
                  <c:v>0.22522386277277159</c:v>
                </c:pt>
                <c:pt idx="9">
                  <c:v>0.20716497829840574</c:v>
                </c:pt>
                <c:pt idx="10">
                  <c:v>0.20875703129132533</c:v>
                </c:pt>
                <c:pt idx="11">
                  <c:v>0.21313941247667628</c:v>
                </c:pt>
              </c:numCache>
            </c:numRef>
          </c:val>
          <c:smooth val="0"/>
        </c:ser>
        <c:ser>
          <c:idx val="2"/>
          <c:order val="2"/>
          <c:tx>
            <c:strRef>
              <c:f>Лист1!$A$13</c:f>
              <c:strCache>
                <c:ptCount val="1"/>
                <c:pt idx="0">
                  <c:v>ROIC average</c:v>
                </c:pt>
              </c:strCache>
            </c:strRef>
          </c:tx>
          <c:spPr>
            <a:ln w="25400">
              <a:solidFill>
                <a:schemeClr val="tx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Лист1!$F$13:$Q$13</c:f>
              <c:numCache>
                <c:formatCode>0.0%</c:formatCode>
                <c:ptCount val="12"/>
                <c:pt idx="0">
                  <c:v>0.10970100290037781</c:v>
                </c:pt>
                <c:pt idx="1">
                  <c:v>0.10970100290037781</c:v>
                </c:pt>
                <c:pt idx="2">
                  <c:v>0.10970100290037781</c:v>
                </c:pt>
                <c:pt idx="3">
                  <c:v>0.10970100290037781</c:v>
                </c:pt>
                <c:pt idx="4">
                  <c:v>0.10970100290037781</c:v>
                </c:pt>
                <c:pt idx="5">
                  <c:v>0.10970100290037781</c:v>
                </c:pt>
                <c:pt idx="6">
                  <c:v>0.10970100290037781</c:v>
                </c:pt>
                <c:pt idx="7">
                  <c:v>0.10970100290037781</c:v>
                </c:pt>
                <c:pt idx="8">
                  <c:v>0.10970100290037781</c:v>
                </c:pt>
                <c:pt idx="9">
                  <c:v>0.10970100290037781</c:v>
                </c:pt>
                <c:pt idx="10">
                  <c:v>0.10970100290037781</c:v>
                </c:pt>
                <c:pt idx="11">
                  <c:v>0.10970100290037781</c:v>
                </c:pt>
              </c:numCache>
            </c:numRef>
          </c:val>
          <c:smooth val="0"/>
        </c:ser>
        <c:ser>
          <c:idx val="3"/>
          <c:order val="3"/>
          <c:tx>
            <c:strRef>
              <c:f>Лист1!$A$14</c:f>
              <c:strCache>
                <c:ptCount val="1"/>
                <c:pt idx="0">
                  <c:v>ROAE average</c:v>
                </c:pt>
              </c:strCache>
            </c:strRef>
          </c:tx>
          <c:spPr>
            <a:ln w="25400">
              <a:solidFill>
                <a:schemeClr val="accent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Лист1!$F$14:$Q$14</c:f>
              <c:numCache>
                <c:formatCode>0.0%</c:formatCode>
                <c:ptCount val="12"/>
                <c:pt idx="0">
                  <c:v>0.23509255848204905</c:v>
                </c:pt>
                <c:pt idx="1">
                  <c:v>0.23509255848204905</c:v>
                </c:pt>
                <c:pt idx="2">
                  <c:v>0.23509255848204905</c:v>
                </c:pt>
                <c:pt idx="3">
                  <c:v>0.23509255848204905</c:v>
                </c:pt>
                <c:pt idx="4">
                  <c:v>0.23509255848204905</c:v>
                </c:pt>
                <c:pt idx="5">
                  <c:v>0.23509255848204905</c:v>
                </c:pt>
                <c:pt idx="6">
                  <c:v>0.23509255848204905</c:v>
                </c:pt>
                <c:pt idx="7">
                  <c:v>0.23509255848204905</c:v>
                </c:pt>
                <c:pt idx="8">
                  <c:v>0.23509255848204905</c:v>
                </c:pt>
                <c:pt idx="9">
                  <c:v>0.23509255848204905</c:v>
                </c:pt>
                <c:pt idx="10">
                  <c:v>0.23509255848204905</c:v>
                </c:pt>
                <c:pt idx="11">
                  <c:v>0.23509255848204905</c:v>
                </c:pt>
              </c:numCache>
            </c:numRef>
          </c:val>
          <c:smooth val="0"/>
        </c:ser>
        <c:dLbls>
          <c:showLegendKey val="0"/>
          <c:showVal val="0"/>
          <c:showCatName val="0"/>
          <c:showSerName val="0"/>
          <c:showPercent val="0"/>
          <c:showBubbleSize val="0"/>
        </c:dLbls>
        <c:smooth val="0"/>
        <c:axId val="921505728"/>
        <c:axId val="921506120"/>
      </c:lineChart>
      <c:catAx>
        <c:axId val="921505728"/>
        <c:scaling>
          <c:orientation val="minMax"/>
        </c:scaling>
        <c:delete val="0"/>
        <c:axPos val="b"/>
        <c:numFmt formatCode="General" sourceLinked="1"/>
        <c:majorTickMark val="out"/>
        <c:minorTickMark val="none"/>
        <c:tickLblPos val="nextTo"/>
        <c:crossAx val="921506120"/>
        <c:crosses val="autoZero"/>
        <c:auto val="1"/>
        <c:lblAlgn val="ctr"/>
        <c:lblOffset val="100"/>
        <c:noMultiLvlLbl val="0"/>
      </c:catAx>
      <c:valAx>
        <c:axId val="921506120"/>
        <c:scaling>
          <c:orientation val="minMax"/>
        </c:scaling>
        <c:delete val="0"/>
        <c:axPos val="l"/>
        <c:numFmt formatCode="0%" sourceLinked="0"/>
        <c:majorTickMark val="out"/>
        <c:minorTickMark val="none"/>
        <c:tickLblPos val="nextTo"/>
        <c:crossAx val="921505728"/>
        <c:crosses val="autoZero"/>
        <c:crossBetween val="between"/>
      </c:valAx>
    </c:plotArea>
    <c:legend>
      <c:legendPos val="r"/>
      <c:layout>
        <c:manualLayout>
          <c:xMode val="edge"/>
          <c:yMode val="edge"/>
          <c:x val="0.12577755905511812"/>
          <c:y val="0.15239391951006123"/>
          <c:w val="0.82837576552930881"/>
          <c:h val="0.10338728492271797"/>
        </c:manualLayou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Лист1!$A$16</c:f>
          <c:strCache>
            <c:ptCount val="1"/>
            <c:pt idx="0">
              <c:v>SHEQ=MCAP + new projects</c:v>
            </c:pt>
          </c:strCache>
        </c:strRef>
      </c:tx>
      <c:overlay val="0"/>
      <c:txPr>
        <a:bodyPr/>
        <a:lstStyle/>
        <a:p>
          <a:pPr>
            <a:defRPr sz="1200"/>
          </a:pPr>
          <a:endParaRPr lang="ru-RU"/>
        </a:p>
      </c:txPr>
    </c:title>
    <c:autoTitleDeleted val="0"/>
    <c:plotArea>
      <c:layout>
        <c:manualLayout>
          <c:layoutTarget val="inner"/>
          <c:xMode val="edge"/>
          <c:yMode val="edge"/>
          <c:x val="9.1849518810148731E-2"/>
          <c:y val="0.2088079615048119"/>
          <c:w val="0.87003915135608034"/>
          <c:h val="0.67521216097987746"/>
        </c:manualLayout>
      </c:layout>
      <c:lineChart>
        <c:grouping val="standard"/>
        <c:varyColors val="0"/>
        <c:ser>
          <c:idx val="0"/>
          <c:order val="0"/>
          <c:tx>
            <c:strRef>
              <c:f>Лист1!$A$20</c:f>
              <c:strCache>
                <c:ptCount val="1"/>
                <c:pt idx="0">
                  <c:v>ROIC</c:v>
                </c:pt>
              </c:strCache>
            </c:strRef>
          </c:tx>
          <c:spPr>
            <a:ln w="25400">
              <a:solidFill>
                <a:schemeClr val="tx2"/>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Лист1!$F$20:$Q$20</c:f>
              <c:numCache>
                <c:formatCode>0.0%</c:formatCode>
                <c:ptCount val="12"/>
                <c:pt idx="0">
                  <c:v>5.2298267843466265E-2</c:v>
                </c:pt>
                <c:pt idx="1">
                  <c:v>7.8628127004881476E-2</c:v>
                </c:pt>
                <c:pt idx="2">
                  <c:v>0.13976674516052515</c:v>
                </c:pt>
                <c:pt idx="3">
                  <c:v>0.10015695513379781</c:v>
                </c:pt>
                <c:pt idx="4">
                  <c:v>9.84882130088819E-2</c:v>
                </c:pt>
                <c:pt idx="5">
                  <c:v>0.1089576913695411</c:v>
                </c:pt>
                <c:pt idx="6">
                  <c:v>0.13188935620532929</c:v>
                </c:pt>
                <c:pt idx="7">
                  <c:v>9.0884765592004674E-2</c:v>
                </c:pt>
                <c:pt idx="8">
                  <c:v>9.5729206534425501E-2</c:v>
                </c:pt>
                <c:pt idx="9">
                  <c:v>9.3955834390581736E-2</c:v>
                </c:pt>
                <c:pt idx="10">
                  <c:v>9.7047107268354207E-2</c:v>
                </c:pt>
                <c:pt idx="11">
                  <c:v>0.10075044735519162</c:v>
                </c:pt>
              </c:numCache>
            </c:numRef>
          </c:val>
          <c:smooth val="0"/>
        </c:ser>
        <c:ser>
          <c:idx val="1"/>
          <c:order val="1"/>
          <c:tx>
            <c:strRef>
              <c:f>Лист1!$A$21</c:f>
              <c:strCache>
                <c:ptCount val="1"/>
                <c:pt idx="0">
                  <c:v>ROAE</c:v>
                </c:pt>
              </c:strCache>
            </c:strRef>
          </c:tx>
          <c:spPr>
            <a:ln w="25400">
              <a:solidFill>
                <a:srgbClr val="C00000"/>
              </a:solidFill>
              <a:prstDash val="solid"/>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Лист1!$F$21:$Q$21</c:f>
              <c:numCache>
                <c:formatCode>0.0%</c:formatCode>
                <c:ptCount val="12"/>
                <c:pt idx="0">
                  <c:v>0.16451126699293947</c:v>
                </c:pt>
                <c:pt idx="1">
                  <c:v>0.18414594176585183</c:v>
                </c:pt>
                <c:pt idx="2">
                  <c:v>0.26194898717141346</c:v>
                </c:pt>
                <c:pt idx="3">
                  <c:v>0.20441207614480864</c:v>
                </c:pt>
                <c:pt idx="4">
                  <c:v>0.14603991217953058</c:v>
                </c:pt>
                <c:pt idx="5">
                  <c:v>0.25148590915458258</c:v>
                </c:pt>
                <c:pt idx="6">
                  <c:v>0.28489426280151564</c:v>
                </c:pt>
                <c:pt idx="7">
                  <c:v>0.13748113917769517</c:v>
                </c:pt>
                <c:pt idx="8">
                  <c:v>0.14126235262609679</c:v>
                </c:pt>
                <c:pt idx="9">
                  <c:v>0.13509268692201931</c:v>
                </c:pt>
                <c:pt idx="10">
                  <c:v>0.1392955253274388</c:v>
                </c:pt>
                <c:pt idx="11">
                  <c:v>0.14509097370536186</c:v>
                </c:pt>
              </c:numCache>
            </c:numRef>
          </c:val>
          <c:smooth val="0"/>
        </c:ser>
        <c:ser>
          <c:idx val="2"/>
          <c:order val="2"/>
          <c:tx>
            <c:strRef>
              <c:f>Лист1!$A$22</c:f>
              <c:strCache>
                <c:ptCount val="1"/>
                <c:pt idx="0">
                  <c:v>ROIC average</c:v>
                </c:pt>
              </c:strCache>
            </c:strRef>
          </c:tx>
          <c:spPr>
            <a:ln w="25400">
              <a:solidFill>
                <a:schemeClr val="tx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Лист1!$F$22:$Q$22</c:f>
              <c:numCache>
                <c:formatCode>0.0%</c:formatCode>
                <c:ptCount val="12"/>
                <c:pt idx="0">
                  <c:v>0.10145505081806042</c:v>
                </c:pt>
                <c:pt idx="1">
                  <c:v>0.10145505081806042</c:v>
                </c:pt>
                <c:pt idx="2">
                  <c:v>0.10145505081806042</c:v>
                </c:pt>
                <c:pt idx="3">
                  <c:v>0.10145505081806042</c:v>
                </c:pt>
                <c:pt idx="4">
                  <c:v>0.10145505081806042</c:v>
                </c:pt>
                <c:pt idx="5">
                  <c:v>0.10145505081806042</c:v>
                </c:pt>
                <c:pt idx="6">
                  <c:v>0.10145505081806042</c:v>
                </c:pt>
                <c:pt idx="7">
                  <c:v>0.10145505081806042</c:v>
                </c:pt>
                <c:pt idx="8">
                  <c:v>0.10145505081806042</c:v>
                </c:pt>
                <c:pt idx="9">
                  <c:v>0.10145505081806042</c:v>
                </c:pt>
                <c:pt idx="10">
                  <c:v>0.10145505081806042</c:v>
                </c:pt>
                <c:pt idx="11">
                  <c:v>0.10145505081806042</c:v>
                </c:pt>
              </c:numCache>
            </c:numRef>
          </c:val>
          <c:smooth val="0"/>
        </c:ser>
        <c:ser>
          <c:idx val="3"/>
          <c:order val="3"/>
          <c:tx>
            <c:strRef>
              <c:f>Лист1!$A$23</c:f>
              <c:strCache>
                <c:ptCount val="1"/>
                <c:pt idx="0">
                  <c:v>ROAE average</c:v>
                </c:pt>
              </c:strCache>
            </c:strRef>
          </c:tx>
          <c:spPr>
            <a:ln w="25400">
              <a:solidFill>
                <a:schemeClr val="accent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Лист1!$F$23:$Q$23</c:f>
              <c:numCache>
                <c:formatCode>0.0%</c:formatCode>
                <c:ptCount val="12"/>
                <c:pt idx="0">
                  <c:v>0.21391976517294889</c:v>
                </c:pt>
                <c:pt idx="1">
                  <c:v>0.21391976517294889</c:v>
                </c:pt>
                <c:pt idx="2">
                  <c:v>0.21391976517294889</c:v>
                </c:pt>
                <c:pt idx="3">
                  <c:v>0.21391976517294889</c:v>
                </c:pt>
                <c:pt idx="4">
                  <c:v>0.21391976517294889</c:v>
                </c:pt>
                <c:pt idx="5">
                  <c:v>0.21391976517294889</c:v>
                </c:pt>
                <c:pt idx="6">
                  <c:v>0.21391976517294889</c:v>
                </c:pt>
                <c:pt idx="7">
                  <c:v>0.21391976517294889</c:v>
                </c:pt>
                <c:pt idx="8">
                  <c:v>0.21391976517294889</c:v>
                </c:pt>
                <c:pt idx="9">
                  <c:v>0.21391976517294889</c:v>
                </c:pt>
                <c:pt idx="10">
                  <c:v>0.21391976517294889</c:v>
                </c:pt>
                <c:pt idx="11">
                  <c:v>0.21391976517294889</c:v>
                </c:pt>
              </c:numCache>
            </c:numRef>
          </c:val>
          <c:smooth val="0"/>
        </c:ser>
        <c:dLbls>
          <c:showLegendKey val="0"/>
          <c:showVal val="0"/>
          <c:showCatName val="0"/>
          <c:showSerName val="0"/>
          <c:showPercent val="0"/>
          <c:showBubbleSize val="0"/>
        </c:dLbls>
        <c:smooth val="0"/>
        <c:axId val="921506904"/>
        <c:axId val="921507296"/>
      </c:lineChart>
      <c:catAx>
        <c:axId val="921506904"/>
        <c:scaling>
          <c:orientation val="minMax"/>
        </c:scaling>
        <c:delete val="0"/>
        <c:axPos val="b"/>
        <c:numFmt formatCode="General" sourceLinked="1"/>
        <c:majorTickMark val="out"/>
        <c:minorTickMark val="none"/>
        <c:tickLblPos val="nextTo"/>
        <c:crossAx val="921507296"/>
        <c:crosses val="autoZero"/>
        <c:auto val="1"/>
        <c:lblAlgn val="ctr"/>
        <c:lblOffset val="100"/>
        <c:noMultiLvlLbl val="0"/>
      </c:catAx>
      <c:valAx>
        <c:axId val="921507296"/>
        <c:scaling>
          <c:orientation val="minMax"/>
        </c:scaling>
        <c:delete val="0"/>
        <c:axPos val="l"/>
        <c:numFmt formatCode="0%" sourceLinked="0"/>
        <c:majorTickMark val="out"/>
        <c:minorTickMark val="none"/>
        <c:tickLblPos val="nextTo"/>
        <c:crossAx val="921506904"/>
        <c:crosses val="autoZero"/>
        <c:crossBetween val="between"/>
      </c:valAx>
    </c:plotArea>
    <c:legend>
      <c:legendPos val="r"/>
      <c:layout>
        <c:manualLayout>
          <c:xMode val="edge"/>
          <c:yMode val="edge"/>
          <c:x val="0.12577755905511812"/>
          <c:y val="0.15239391951006123"/>
          <c:w val="0.82837576552930881"/>
          <c:h val="0.10338728492271797"/>
        </c:manualLayou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Лист1!$A$26</c:f>
          <c:strCache>
            <c:ptCount val="1"/>
            <c:pt idx="0">
              <c:v>SHEQ=ASIS + NO new projects</c:v>
            </c:pt>
          </c:strCache>
        </c:strRef>
      </c:tx>
      <c:overlay val="0"/>
      <c:txPr>
        <a:bodyPr/>
        <a:lstStyle/>
        <a:p>
          <a:pPr>
            <a:defRPr sz="1200"/>
          </a:pPr>
          <a:endParaRPr lang="ru-RU"/>
        </a:p>
      </c:txPr>
    </c:title>
    <c:autoTitleDeleted val="0"/>
    <c:plotArea>
      <c:layout>
        <c:manualLayout>
          <c:layoutTarget val="inner"/>
          <c:xMode val="edge"/>
          <c:yMode val="edge"/>
          <c:x val="9.1849518810148731E-2"/>
          <c:y val="0.2088079615048119"/>
          <c:w val="0.87003915135608034"/>
          <c:h val="0.67521216097987746"/>
        </c:manualLayout>
      </c:layout>
      <c:lineChart>
        <c:grouping val="standard"/>
        <c:varyColors val="0"/>
        <c:ser>
          <c:idx val="0"/>
          <c:order val="0"/>
          <c:tx>
            <c:strRef>
              <c:f>Лист1!$A$27</c:f>
              <c:strCache>
                <c:ptCount val="1"/>
                <c:pt idx="0">
                  <c:v>ROIC</c:v>
                </c:pt>
              </c:strCache>
            </c:strRef>
          </c:tx>
          <c:spPr>
            <a:ln w="25400">
              <a:solidFill>
                <a:schemeClr val="tx2"/>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Лист1!$F$27:$Q$27</c:f>
              <c:numCache>
                <c:formatCode>0.0%</c:formatCode>
                <c:ptCount val="12"/>
                <c:pt idx="0">
                  <c:v>5.38220053377403E-2</c:v>
                </c:pt>
                <c:pt idx="1">
                  <c:v>8.2262643790730519E-2</c:v>
                </c:pt>
                <c:pt idx="2">
                  <c:v>0.15792554240760062</c:v>
                </c:pt>
                <c:pt idx="3">
                  <c:v>0.10254445189454914</c:v>
                </c:pt>
                <c:pt idx="4">
                  <c:v>8.2905756156925942E-2</c:v>
                </c:pt>
                <c:pt idx="5">
                  <c:v>0.11091405908825605</c:v>
                </c:pt>
                <c:pt idx="6">
                  <c:v>0.17753256162684217</c:v>
                </c:pt>
                <c:pt idx="7" formatCode="0.00%">
                  <c:v>0.109</c:v>
                </c:pt>
                <c:pt idx="8">
                  <c:v>9.9000000000000005E-2</c:v>
                </c:pt>
                <c:pt idx="9">
                  <c:v>9.5000000000000001E-2</c:v>
                </c:pt>
                <c:pt idx="10">
                  <c:v>9.9000000000000005E-2</c:v>
                </c:pt>
                <c:pt idx="11">
                  <c:v>0.10299999999999999</c:v>
                </c:pt>
              </c:numCache>
            </c:numRef>
          </c:val>
          <c:smooth val="0"/>
        </c:ser>
        <c:ser>
          <c:idx val="1"/>
          <c:order val="1"/>
          <c:tx>
            <c:strRef>
              <c:f>Лист1!$A$28</c:f>
              <c:strCache>
                <c:ptCount val="1"/>
                <c:pt idx="0">
                  <c:v>ROAE</c:v>
                </c:pt>
              </c:strCache>
            </c:strRef>
          </c:tx>
          <c:spPr>
            <a:ln w="25400">
              <a:solidFill>
                <a:srgbClr val="C00000"/>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Лист1!$F$28:$Q$28</c:f>
              <c:numCache>
                <c:formatCode>0.0%</c:formatCode>
                <c:ptCount val="12"/>
                <c:pt idx="0">
                  <c:v>0.17391498397838789</c:v>
                </c:pt>
                <c:pt idx="1">
                  <c:v>0.19695956638014711</c:v>
                </c:pt>
                <c:pt idx="2">
                  <c:v>0.30611170051250813</c:v>
                </c:pt>
                <c:pt idx="3">
                  <c:v>0.23355300844970658</c:v>
                </c:pt>
                <c:pt idx="4">
                  <c:v>0.12772547244818619</c:v>
                </c:pt>
                <c:pt idx="5">
                  <c:v>0.20769402216051486</c:v>
                </c:pt>
                <c:pt idx="6">
                  <c:v>0.39968915544489253</c:v>
                </c:pt>
                <c:pt idx="7">
                  <c:v>0.20899999999999999</c:v>
                </c:pt>
                <c:pt idx="8">
                  <c:v>0.17399999999999999</c:v>
                </c:pt>
                <c:pt idx="9">
                  <c:v>0.161</c:v>
                </c:pt>
                <c:pt idx="10">
                  <c:v>0.16699999999999998</c:v>
                </c:pt>
                <c:pt idx="11">
                  <c:v>0.17499999999999999</c:v>
                </c:pt>
              </c:numCache>
            </c:numRef>
          </c:val>
          <c:smooth val="0"/>
        </c:ser>
        <c:ser>
          <c:idx val="2"/>
          <c:order val="2"/>
          <c:tx>
            <c:strRef>
              <c:f>Лист1!$A$29</c:f>
              <c:strCache>
                <c:ptCount val="1"/>
                <c:pt idx="0">
                  <c:v>ROIC average</c:v>
                </c:pt>
              </c:strCache>
            </c:strRef>
          </c:tx>
          <c:spPr>
            <a:ln w="22225">
              <a:solidFill>
                <a:schemeClr val="tx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Лист1!$F$29:$Q$29</c:f>
              <c:numCache>
                <c:formatCode>0.0%</c:formatCode>
                <c:ptCount val="12"/>
                <c:pt idx="0">
                  <c:v>0.10970100290037781</c:v>
                </c:pt>
                <c:pt idx="1">
                  <c:v>0.10970100290037781</c:v>
                </c:pt>
                <c:pt idx="2">
                  <c:v>0.10970100290037781</c:v>
                </c:pt>
                <c:pt idx="3">
                  <c:v>0.10970100290037781</c:v>
                </c:pt>
                <c:pt idx="4">
                  <c:v>0.10970100290037781</c:v>
                </c:pt>
                <c:pt idx="5">
                  <c:v>0.10970100290037781</c:v>
                </c:pt>
                <c:pt idx="6">
                  <c:v>0.10970100290037781</c:v>
                </c:pt>
                <c:pt idx="7">
                  <c:v>0.10970100290037781</c:v>
                </c:pt>
                <c:pt idx="8">
                  <c:v>0.10970100290037781</c:v>
                </c:pt>
                <c:pt idx="9">
                  <c:v>0.10970100290037781</c:v>
                </c:pt>
                <c:pt idx="10">
                  <c:v>0.10970100290037781</c:v>
                </c:pt>
                <c:pt idx="11">
                  <c:v>0.10970100290037781</c:v>
                </c:pt>
              </c:numCache>
            </c:numRef>
          </c:val>
          <c:smooth val="0"/>
        </c:ser>
        <c:ser>
          <c:idx val="3"/>
          <c:order val="3"/>
          <c:tx>
            <c:strRef>
              <c:f>Лист1!$A$30</c:f>
              <c:strCache>
                <c:ptCount val="1"/>
                <c:pt idx="0">
                  <c:v>ROAE average</c:v>
                </c:pt>
              </c:strCache>
            </c:strRef>
          </c:tx>
          <c:spPr>
            <a:ln w="25400">
              <a:solidFill>
                <a:schemeClr val="accent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Лист1!$F$30:$Q$30</c:f>
              <c:numCache>
                <c:formatCode>0.0%</c:formatCode>
                <c:ptCount val="12"/>
                <c:pt idx="0">
                  <c:v>0.23509255848204905</c:v>
                </c:pt>
                <c:pt idx="1">
                  <c:v>0.23509255848204905</c:v>
                </c:pt>
                <c:pt idx="2">
                  <c:v>0.23509255848204905</c:v>
                </c:pt>
                <c:pt idx="3">
                  <c:v>0.23509255848204905</c:v>
                </c:pt>
                <c:pt idx="4">
                  <c:v>0.23509255848204905</c:v>
                </c:pt>
                <c:pt idx="5">
                  <c:v>0.23509255848204905</c:v>
                </c:pt>
                <c:pt idx="6">
                  <c:v>0.23509255848204905</c:v>
                </c:pt>
                <c:pt idx="7">
                  <c:v>0.23509255848204905</c:v>
                </c:pt>
                <c:pt idx="8">
                  <c:v>0.23509255848204905</c:v>
                </c:pt>
                <c:pt idx="9">
                  <c:v>0.23509255848204905</c:v>
                </c:pt>
                <c:pt idx="10">
                  <c:v>0.23509255848204905</c:v>
                </c:pt>
                <c:pt idx="11">
                  <c:v>0.23509255848204905</c:v>
                </c:pt>
              </c:numCache>
            </c:numRef>
          </c:val>
          <c:smooth val="0"/>
        </c:ser>
        <c:dLbls>
          <c:showLegendKey val="0"/>
          <c:showVal val="0"/>
          <c:showCatName val="0"/>
          <c:showSerName val="0"/>
          <c:showPercent val="0"/>
          <c:showBubbleSize val="0"/>
        </c:dLbls>
        <c:smooth val="0"/>
        <c:axId val="921508080"/>
        <c:axId val="921508472"/>
      </c:lineChart>
      <c:catAx>
        <c:axId val="921508080"/>
        <c:scaling>
          <c:orientation val="minMax"/>
        </c:scaling>
        <c:delete val="0"/>
        <c:axPos val="b"/>
        <c:numFmt formatCode="General" sourceLinked="1"/>
        <c:majorTickMark val="out"/>
        <c:minorTickMark val="none"/>
        <c:tickLblPos val="nextTo"/>
        <c:crossAx val="921508472"/>
        <c:crosses val="autoZero"/>
        <c:auto val="1"/>
        <c:lblAlgn val="ctr"/>
        <c:lblOffset val="100"/>
        <c:noMultiLvlLbl val="0"/>
      </c:catAx>
      <c:valAx>
        <c:axId val="921508472"/>
        <c:scaling>
          <c:orientation val="minMax"/>
        </c:scaling>
        <c:delete val="0"/>
        <c:axPos val="l"/>
        <c:numFmt formatCode="0%" sourceLinked="0"/>
        <c:majorTickMark val="out"/>
        <c:minorTickMark val="none"/>
        <c:tickLblPos val="nextTo"/>
        <c:crossAx val="921508080"/>
        <c:crosses val="autoZero"/>
        <c:crossBetween val="between"/>
      </c:valAx>
    </c:plotArea>
    <c:legend>
      <c:legendPos val="r"/>
      <c:layout>
        <c:manualLayout>
          <c:xMode val="edge"/>
          <c:yMode val="edge"/>
          <c:x val="0.12577755905511812"/>
          <c:y val="0.15239391951006123"/>
          <c:w val="0.82837576552930881"/>
          <c:h val="0.10338728492271797"/>
        </c:manualLayou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Лист1!$A$32</c:f>
          <c:strCache>
            <c:ptCount val="1"/>
            <c:pt idx="0">
              <c:v>SHEQ=MCAP + NO new projects</c:v>
            </c:pt>
          </c:strCache>
        </c:strRef>
      </c:tx>
      <c:overlay val="0"/>
      <c:txPr>
        <a:bodyPr/>
        <a:lstStyle/>
        <a:p>
          <a:pPr>
            <a:defRPr sz="1200"/>
          </a:pPr>
          <a:endParaRPr lang="ru-RU"/>
        </a:p>
      </c:txPr>
    </c:title>
    <c:autoTitleDeleted val="0"/>
    <c:plotArea>
      <c:layout>
        <c:manualLayout>
          <c:layoutTarget val="inner"/>
          <c:xMode val="edge"/>
          <c:yMode val="edge"/>
          <c:x val="9.1849518810148731E-2"/>
          <c:y val="0.2088079615048119"/>
          <c:w val="0.87003915135608034"/>
          <c:h val="0.67521216097987746"/>
        </c:manualLayout>
      </c:layout>
      <c:lineChart>
        <c:grouping val="standard"/>
        <c:varyColors val="0"/>
        <c:ser>
          <c:idx val="0"/>
          <c:order val="0"/>
          <c:tx>
            <c:strRef>
              <c:f>Лист1!$A$33</c:f>
              <c:strCache>
                <c:ptCount val="1"/>
                <c:pt idx="0">
                  <c:v>ROIC</c:v>
                </c:pt>
              </c:strCache>
            </c:strRef>
          </c:tx>
          <c:spPr>
            <a:ln w="25400">
              <a:solidFill>
                <a:schemeClr val="tx2"/>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Лист1!$F$33:$Q$33</c:f>
              <c:numCache>
                <c:formatCode>0.0%</c:formatCode>
                <c:ptCount val="12"/>
                <c:pt idx="0">
                  <c:v>5.2298267843466265E-2</c:v>
                </c:pt>
                <c:pt idx="1">
                  <c:v>7.8628127004881476E-2</c:v>
                </c:pt>
                <c:pt idx="2">
                  <c:v>0.13976674516052515</c:v>
                </c:pt>
                <c:pt idx="3">
                  <c:v>0.10015695513379781</c:v>
                </c:pt>
                <c:pt idx="4">
                  <c:v>9.84882130088819E-2</c:v>
                </c:pt>
                <c:pt idx="5">
                  <c:v>0.1089576913695411</c:v>
                </c:pt>
                <c:pt idx="6">
                  <c:v>0.13188935620532929</c:v>
                </c:pt>
                <c:pt idx="7">
                  <c:v>8.199999999999999E-2</c:v>
                </c:pt>
                <c:pt idx="8">
                  <c:v>7.5999999999999998E-2</c:v>
                </c:pt>
                <c:pt idx="9">
                  <c:v>7.2999999999999995E-2</c:v>
                </c:pt>
                <c:pt idx="10">
                  <c:v>7.5999999999999998E-2</c:v>
                </c:pt>
                <c:pt idx="11">
                  <c:v>0.08</c:v>
                </c:pt>
              </c:numCache>
            </c:numRef>
          </c:val>
          <c:smooth val="0"/>
        </c:ser>
        <c:ser>
          <c:idx val="1"/>
          <c:order val="1"/>
          <c:tx>
            <c:strRef>
              <c:f>Лист1!$A$34</c:f>
              <c:strCache>
                <c:ptCount val="1"/>
                <c:pt idx="0">
                  <c:v>ROAE</c:v>
                </c:pt>
              </c:strCache>
            </c:strRef>
          </c:tx>
          <c:spPr>
            <a:ln w="25400">
              <a:solidFill>
                <a:srgbClr val="C00000"/>
              </a:solidFill>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Лист1!$F$34:$Q$34</c:f>
              <c:numCache>
                <c:formatCode>0.0%</c:formatCode>
                <c:ptCount val="12"/>
                <c:pt idx="0">
                  <c:v>0.16451126699293947</c:v>
                </c:pt>
                <c:pt idx="1">
                  <c:v>0.18414594176585183</c:v>
                </c:pt>
                <c:pt idx="2">
                  <c:v>0.26194898717141346</c:v>
                </c:pt>
                <c:pt idx="3">
                  <c:v>0.20441207614480864</c:v>
                </c:pt>
                <c:pt idx="4">
                  <c:v>0.14603991217953058</c:v>
                </c:pt>
                <c:pt idx="5">
                  <c:v>0.25148590915458258</c:v>
                </c:pt>
                <c:pt idx="6">
                  <c:v>0.28489426280151564</c:v>
                </c:pt>
                <c:pt idx="7">
                  <c:v>0.122</c:v>
                </c:pt>
                <c:pt idx="8">
                  <c:v>0.107</c:v>
                </c:pt>
                <c:pt idx="9">
                  <c:v>0.10199999999999999</c:v>
                </c:pt>
                <c:pt idx="10">
                  <c:v>0.10800000000000001</c:v>
                </c:pt>
                <c:pt idx="11">
                  <c:v>0.114</c:v>
                </c:pt>
              </c:numCache>
            </c:numRef>
          </c:val>
          <c:smooth val="0"/>
        </c:ser>
        <c:ser>
          <c:idx val="2"/>
          <c:order val="2"/>
          <c:tx>
            <c:strRef>
              <c:f>Лист1!$A$35</c:f>
              <c:strCache>
                <c:ptCount val="1"/>
                <c:pt idx="0">
                  <c:v>ROIC average</c:v>
                </c:pt>
              </c:strCache>
            </c:strRef>
          </c:tx>
          <c:spPr>
            <a:ln w="25400">
              <a:solidFill>
                <a:schemeClr val="tx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Лист1!$F$35:$Q$35</c:f>
              <c:numCache>
                <c:formatCode>0.0%</c:formatCode>
                <c:ptCount val="12"/>
                <c:pt idx="0">
                  <c:v>0.10145505081806042</c:v>
                </c:pt>
                <c:pt idx="1">
                  <c:v>0.10145505081806042</c:v>
                </c:pt>
                <c:pt idx="2">
                  <c:v>0.10145505081806042</c:v>
                </c:pt>
                <c:pt idx="3">
                  <c:v>0.10145505081806042</c:v>
                </c:pt>
                <c:pt idx="4">
                  <c:v>0.10145505081806042</c:v>
                </c:pt>
                <c:pt idx="5">
                  <c:v>0.10145505081806042</c:v>
                </c:pt>
                <c:pt idx="6">
                  <c:v>0.10145505081806042</c:v>
                </c:pt>
                <c:pt idx="7">
                  <c:v>0.10145505081806042</c:v>
                </c:pt>
                <c:pt idx="8">
                  <c:v>0.10145505081806042</c:v>
                </c:pt>
                <c:pt idx="9">
                  <c:v>0.10145505081806042</c:v>
                </c:pt>
                <c:pt idx="10">
                  <c:v>0.10145505081806042</c:v>
                </c:pt>
                <c:pt idx="11">
                  <c:v>0.10145505081806042</c:v>
                </c:pt>
              </c:numCache>
            </c:numRef>
          </c:val>
          <c:smooth val="0"/>
        </c:ser>
        <c:ser>
          <c:idx val="3"/>
          <c:order val="3"/>
          <c:tx>
            <c:strRef>
              <c:f>Лист1!$A$36</c:f>
              <c:strCache>
                <c:ptCount val="1"/>
                <c:pt idx="0">
                  <c:v>ROAE average</c:v>
                </c:pt>
              </c:strCache>
            </c:strRef>
          </c:tx>
          <c:spPr>
            <a:ln w="25400">
              <a:solidFill>
                <a:schemeClr val="accent2">
                  <a:lumMod val="40000"/>
                  <a:lumOff val="60000"/>
                </a:schemeClr>
              </a:solidFill>
              <a:prstDash val="dash"/>
            </a:ln>
          </c:spPr>
          <c:marker>
            <c:symbol val="none"/>
          </c:marker>
          <c:cat>
            <c:numRef>
              <c:f>Лист1!$F$1:$Q$1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Лист1!$F$36:$Q$36</c:f>
              <c:numCache>
                <c:formatCode>0.0%</c:formatCode>
                <c:ptCount val="12"/>
                <c:pt idx="0">
                  <c:v>0.21391976517294889</c:v>
                </c:pt>
                <c:pt idx="1">
                  <c:v>0.21391976517294889</c:v>
                </c:pt>
                <c:pt idx="2">
                  <c:v>0.21391976517294889</c:v>
                </c:pt>
                <c:pt idx="3">
                  <c:v>0.21391976517294889</c:v>
                </c:pt>
                <c:pt idx="4">
                  <c:v>0.21391976517294889</c:v>
                </c:pt>
                <c:pt idx="5">
                  <c:v>0.21391976517294889</c:v>
                </c:pt>
                <c:pt idx="6">
                  <c:v>0.21391976517294889</c:v>
                </c:pt>
                <c:pt idx="7">
                  <c:v>0.21391976517294889</c:v>
                </c:pt>
                <c:pt idx="8">
                  <c:v>0.21391976517294889</c:v>
                </c:pt>
                <c:pt idx="9">
                  <c:v>0.21391976517294889</c:v>
                </c:pt>
                <c:pt idx="10">
                  <c:v>0.21391976517294889</c:v>
                </c:pt>
                <c:pt idx="11">
                  <c:v>0.21391976517294889</c:v>
                </c:pt>
              </c:numCache>
            </c:numRef>
          </c:val>
          <c:smooth val="0"/>
        </c:ser>
        <c:dLbls>
          <c:showLegendKey val="0"/>
          <c:showVal val="0"/>
          <c:showCatName val="0"/>
          <c:showSerName val="0"/>
          <c:showPercent val="0"/>
          <c:showBubbleSize val="0"/>
        </c:dLbls>
        <c:smooth val="0"/>
        <c:axId val="921509256"/>
        <c:axId val="884957672"/>
      </c:lineChart>
      <c:catAx>
        <c:axId val="921509256"/>
        <c:scaling>
          <c:orientation val="minMax"/>
        </c:scaling>
        <c:delete val="0"/>
        <c:axPos val="b"/>
        <c:numFmt formatCode="General" sourceLinked="1"/>
        <c:majorTickMark val="out"/>
        <c:minorTickMark val="none"/>
        <c:tickLblPos val="nextTo"/>
        <c:crossAx val="884957672"/>
        <c:crosses val="autoZero"/>
        <c:auto val="1"/>
        <c:lblAlgn val="ctr"/>
        <c:lblOffset val="100"/>
        <c:noMultiLvlLbl val="0"/>
      </c:catAx>
      <c:valAx>
        <c:axId val="884957672"/>
        <c:scaling>
          <c:orientation val="minMax"/>
        </c:scaling>
        <c:delete val="0"/>
        <c:axPos val="l"/>
        <c:numFmt formatCode="0%" sourceLinked="0"/>
        <c:majorTickMark val="out"/>
        <c:minorTickMark val="none"/>
        <c:tickLblPos val="nextTo"/>
        <c:crossAx val="921509256"/>
        <c:crosses val="autoZero"/>
        <c:crossBetween val="between"/>
      </c:valAx>
    </c:plotArea>
    <c:legend>
      <c:legendPos val="r"/>
      <c:layout>
        <c:manualLayout>
          <c:xMode val="edge"/>
          <c:yMode val="edge"/>
          <c:x val="0.12577755905511812"/>
          <c:y val="0.15239391951006123"/>
          <c:w val="0.82837576552930881"/>
          <c:h val="0.1033872849227179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571741032370954E-2"/>
          <c:y val="7.4538532752651057E-2"/>
          <c:w val="0.85347025371828522"/>
          <c:h val="0.77209747570824339"/>
        </c:manualLayout>
      </c:layout>
      <c:barChart>
        <c:barDir val="col"/>
        <c:grouping val="clustered"/>
        <c:varyColors val="0"/>
        <c:ser>
          <c:idx val="0"/>
          <c:order val="0"/>
          <c:tx>
            <c:strRef>
              <c:f>cover!$A$109</c:f>
              <c:strCache>
                <c:ptCount val="1"/>
                <c:pt idx="0">
                  <c:v>CAPEX</c:v>
                </c:pt>
              </c:strCache>
            </c:strRef>
          </c:tx>
          <c:invertIfNegative val="0"/>
          <c:dPt>
            <c:idx val="8"/>
            <c:invertIfNegative val="0"/>
            <c:bubble3D val="0"/>
            <c:spPr>
              <a:pattFill prst="pct60">
                <a:fgClr>
                  <a:schemeClr val="tx2">
                    <a:lumMod val="40000"/>
                    <a:lumOff val="60000"/>
                  </a:schemeClr>
                </a:fgClr>
                <a:bgClr>
                  <a:schemeClr val="bg1"/>
                </a:bgClr>
              </a:pattFill>
            </c:spPr>
          </c:dPt>
          <c:dPt>
            <c:idx val="9"/>
            <c:invertIfNegative val="0"/>
            <c:bubble3D val="0"/>
            <c:spPr>
              <a:pattFill prst="pct60">
                <a:fgClr>
                  <a:schemeClr val="tx2">
                    <a:lumMod val="40000"/>
                    <a:lumOff val="60000"/>
                  </a:schemeClr>
                </a:fgClr>
                <a:bgClr>
                  <a:schemeClr val="bg1"/>
                </a:bgClr>
              </a:pattFill>
            </c:spPr>
          </c:dPt>
          <c:dPt>
            <c:idx val="10"/>
            <c:invertIfNegative val="0"/>
            <c:bubble3D val="0"/>
            <c:spPr>
              <a:pattFill prst="pct60">
                <a:fgClr>
                  <a:schemeClr val="tx2">
                    <a:lumMod val="40000"/>
                    <a:lumOff val="60000"/>
                  </a:schemeClr>
                </a:fgClr>
                <a:bgClr>
                  <a:schemeClr val="bg1"/>
                </a:bgClr>
              </a:pattFill>
            </c:spPr>
          </c:dPt>
          <c:dPt>
            <c:idx val="11"/>
            <c:invertIfNegative val="0"/>
            <c:bubble3D val="0"/>
            <c:spPr>
              <a:pattFill prst="pct60">
                <a:fgClr>
                  <a:schemeClr val="tx2">
                    <a:lumMod val="40000"/>
                    <a:lumOff val="60000"/>
                  </a:schemeClr>
                </a:fgClr>
                <a:bgClr>
                  <a:schemeClr val="bg1"/>
                </a:bgClr>
              </a:pattFill>
            </c:spPr>
          </c:dPt>
          <c:cat>
            <c:numRef>
              <c:f>cover!$F$1:$Q$1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cover!$F$109:$Q$109</c:f>
              <c:numCache>
                <c:formatCode>#\ ##0;\-#\ ##0;"- "</c:formatCode>
                <c:ptCount val="12"/>
                <c:pt idx="0">
                  <c:v>-117.2208188976378</c:v>
                </c:pt>
                <c:pt idx="1">
                  <c:v>-179.47957839262187</c:v>
                </c:pt>
                <c:pt idx="2">
                  <c:v>-368.84353741496602</c:v>
                </c:pt>
                <c:pt idx="3">
                  <c:v>-519.00975437015097</c:v>
                </c:pt>
                <c:pt idx="4">
                  <c:v>-453.27014812955059</c:v>
                </c:pt>
                <c:pt idx="5">
                  <c:v>-297.12658555526792</c:v>
                </c:pt>
                <c:pt idx="6">
                  <c:v>-246.63684451119963</c:v>
                </c:pt>
                <c:pt idx="7">
                  <c:v>-181.06019042073953</c:v>
                </c:pt>
                <c:pt idx="8">
                  <c:v>-194.4123023981073</c:v>
                </c:pt>
                <c:pt idx="9">
                  <c:v>-320</c:v>
                </c:pt>
                <c:pt idx="10">
                  <c:v>-312</c:v>
                </c:pt>
                <c:pt idx="11">
                  <c:v>-254</c:v>
                </c:pt>
              </c:numCache>
            </c:numRef>
          </c:val>
        </c:ser>
        <c:ser>
          <c:idx val="1"/>
          <c:order val="1"/>
          <c:tx>
            <c:strRef>
              <c:f>cover!$A$110</c:f>
              <c:strCache>
                <c:ptCount val="1"/>
                <c:pt idx="0">
                  <c:v>Stay-in-Business capex</c:v>
                </c:pt>
              </c:strCache>
            </c:strRef>
          </c:tx>
          <c:invertIfNegative val="0"/>
          <c:dPt>
            <c:idx val="8"/>
            <c:invertIfNegative val="0"/>
            <c:bubble3D val="0"/>
            <c:spPr>
              <a:pattFill prst="pct60">
                <a:fgClr>
                  <a:schemeClr val="accent2">
                    <a:lumMod val="40000"/>
                    <a:lumOff val="60000"/>
                  </a:schemeClr>
                </a:fgClr>
                <a:bgClr>
                  <a:schemeClr val="bg1"/>
                </a:bgClr>
              </a:pattFill>
            </c:spPr>
          </c:dPt>
          <c:dPt>
            <c:idx val="9"/>
            <c:invertIfNegative val="0"/>
            <c:bubble3D val="0"/>
            <c:spPr>
              <a:pattFill prst="pct60">
                <a:fgClr>
                  <a:schemeClr val="accent2">
                    <a:lumMod val="40000"/>
                    <a:lumOff val="60000"/>
                  </a:schemeClr>
                </a:fgClr>
                <a:bgClr>
                  <a:schemeClr val="bg1"/>
                </a:bgClr>
              </a:pattFill>
            </c:spPr>
          </c:dPt>
          <c:dPt>
            <c:idx val="10"/>
            <c:invertIfNegative val="0"/>
            <c:bubble3D val="0"/>
            <c:spPr>
              <a:pattFill prst="pct60">
                <a:fgClr>
                  <a:schemeClr val="accent2">
                    <a:lumMod val="40000"/>
                    <a:lumOff val="60000"/>
                  </a:schemeClr>
                </a:fgClr>
                <a:bgClr>
                  <a:schemeClr val="bg1"/>
                </a:bgClr>
              </a:pattFill>
            </c:spPr>
          </c:dPt>
          <c:dPt>
            <c:idx val="11"/>
            <c:invertIfNegative val="0"/>
            <c:bubble3D val="0"/>
            <c:spPr>
              <a:pattFill prst="pct60">
                <a:fgClr>
                  <a:schemeClr val="accent2">
                    <a:lumMod val="40000"/>
                    <a:lumOff val="60000"/>
                  </a:schemeClr>
                </a:fgClr>
                <a:bgClr>
                  <a:schemeClr val="bg1"/>
                </a:bgClr>
              </a:pattFill>
            </c:spPr>
          </c:dPt>
          <c:cat>
            <c:numRef>
              <c:f>cover!$F$1:$Q$1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cover!$F$110:$Q$110</c:f>
              <c:numCache>
                <c:formatCode>#\ ##0;\-#\ ##0;"- "</c:formatCode>
                <c:ptCount val="12"/>
                <c:pt idx="0">
                  <c:v>-45</c:v>
                </c:pt>
                <c:pt idx="1">
                  <c:v>-49.110671936758891</c:v>
                </c:pt>
                <c:pt idx="2">
                  <c:v>-65.204081632653057</c:v>
                </c:pt>
                <c:pt idx="3">
                  <c:v>-63.419502301773818</c:v>
                </c:pt>
                <c:pt idx="4">
                  <c:v>-80.529751443635448</c:v>
                </c:pt>
                <c:pt idx="5">
                  <c:v>-66.425058244887396</c:v>
                </c:pt>
                <c:pt idx="6">
                  <c:v>-41.352249722458026</c:v>
                </c:pt>
                <c:pt idx="7">
                  <c:v>-57</c:v>
                </c:pt>
                <c:pt idx="8">
                  <c:v>-42</c:v>
                </c:pt>
                <c:pt idx="9">
                  <c:v>-52</c:v>
                </c:pt>
                <c:pt idx="10">
                  <c:v>-52</c:v>
                </c:pt>
                <c:pt idx="11">
                  <c:v>-52</c:v>
                </c:pt>
              </c:numCache>
            </c:numRef>
          </c:val>
        </c:ser>
        <c:dLbls>
          <c:showLegendKey val="0"/>
          <c:showVal val="0"/>
          <c:showCatName val="0"/>
          <c:showSerName val="0"/>
          <c:showPercent val="0"/>
          <c:showBubbleSize val="0"/>
        </c:dLbls>
        <c:gapWidth val="150"/>
        <c:axId val="640996960"/>
        <c:axId val="640997352"/>
      </c:barChart>
      <c:catAx>
        <c:axId val="640996960"/>
        <c:scaling>
          <c:orientation val="minMax"/>
        </c:scaling>
        <c:delete val="0"/>
        <c:axPos val="b"/>
        <c:numFmt formatCode="General" sourceLinked="1"/>
        <c:majorTickMark val="out"/>
        <c:minorTickMark val="none"/>
        <c:tickLblPos val="nextTo"/>
        <c:crossAx val="640997352"/>
        <c:crosses val="max"/>
        <c:auto val="1"/>
        <c:lblAlgn val="ctr"/>
        <c:lblOffset val="100"/>
        <c:noMultiLvlLbl val="0"/>
      </c:catAx>
      <c:valAx>
        <c:axId val="640997352"/>
        <c:scaling>
          <c:orientation val="maxMin"/>
        </c:scaling>
        <c:delete val="0"/>
        <c:axPos val="l"/>
        <c:numFmt formatCode="#\ ##0;\-#\ ##0;&quot;- &quot;" sourceLinked="1"/>
        <c:majorTickMark val="out"/>
        <c:minorTickMark val="none"/>
        <c:tickLblPos val="nextTo"/>
        <c:crossAx val="640996960"/>
        <c:crosses val="autoZero"/>
        <c:crossBetween val="between"/>
      </c:valAx>
    </c:plotArea>
    <c:legend>
      <c:legendPos val="r"/>
      <c:layout>
        <c:manualLayout>
          <c:xMode val="edge"/>
          <c:yMode val="edge"/>
          <c:x val="0.66804199475065618"/>
          <c:y val="9.356305211643387E-2"/>
          <c:w val="0.24760449943757035"/>
          <c:h val="0.13554660974710231"/>
        </c:manualLayout>
      </c:layout>
      <c:overlay val="0"/>
      <c:txPr>
        <a:bodyPr/>
        <a:lstStyle/>
        <a:p>
          <a:pPr>
            <a:defRPr sz="1200"/>
          </a:pPr>
          <a:endParaRPr lang="ru-RU"/>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9.5397692425352565E-2"/>
          <c:y val="0.15318338865270278"/>
          <c:w val="0.85742982380609778"/>
          <c:h val="0.75561604583705677"/>
        </c:manualLayout>
      </c:layout>
      <c:scatterChart>
        <c:scatterStyle val="lineMarker"/>
        <c:varyColors val="0"/>
        <c:ser>
          <c:idx val="0"/>
          <c:order val="0"/>
          <c:tx>
            <c:strRef>
              <c:f>model!$D$186</c:f>
              <c:strCache>
                <c:ptCount val="1"/>
                <c:pt idx="0">
                  <c:v>Ammonium Nitrate FOB Baltic Sea</c:v>
                </c:pt>
              </c:strCache>
            </c:strRef>
          </c:tx>
          <c:spPr>
            <a:ln w="28575">
              <a:noFill/>
            </a:ln>
          </c:spPr>
          <c:trendline>
            <c:trendlineType val="linear"/>
            <c:dispRSqr val="1"/>
            <c:dispEq val="1"/>
            <c:trendlineLbl>
              <c:layout>
                <c:manualLayout>
                  <c:x val="2.6441150807361587E-2"/>
                  <c:y val="0.40244548034645533"/>
                </c:manualLayout>
              </c:layout>
              <c:numFmt formatCode="General" sourceLinked="0"/>
            </c:trendlineLbl>
          </c:trendline>
          <c:xVal>
            <c:numRef>
              <c:f>model!$C$188:$C$1033</c:f>
              <c:numCache>
                <c:formatCode>_-* #\ ##0_-;\-* #\ ##0_-;_-* "-"??_-;_-@_-</c:formatCode>
                <c:ptCount val="846"/>
                <c:pt idx="0">
                  <c:v>86.5</c:v>
                </c:pt>
                <c:pt idx="1">
                  <c:v>94</c:v>
                </c:pt>
                <c:pt idx="2">
                  <c:v>98.5</c:v>
                </c:pt>
                <c:pt idx="3">
                  <c:v>105.5</c:v>
                </c:pt>
                <c:pt idx="4">
                  <c:v>105.5</c:v>
                </c:pt>
                <c:pt idx="5">
                  <c:v>108</c:v>
                </c:pt>
                <c:pt idx="6">
                  <c:v>109.5</c:v>
                </c:pt>
                <c:pt idx="7">
                  <c:v>110.5</c:v>
                </c:pt>
                <c:pt idx="8">
                  <c:v>112.5</c:v>
                </c:pt>
                <c:pt idx="9">
                  <c:v>121.5</c:v>
                </c:pt>
                <c:pt idx="10">
                  <c:v>132</c:v>
                </c:pt>
                <c:pt idx="11">
                  <c:v>134.75</c:v>
                </c:pt>
                <c:pt idx="12">
                  <c:v>134.75</c:v>
                </c:pt>
                <c:pt idx="13">
                  <c:v>130.5</c:v>
                </c:pt>
                <c:pt idx="14">
                  <c:v>122.5</c:v>
                </c:pt>
                <c:pt idx="15">
                  <c:v>119</c:v>
                </c:pt>
                <c:pt idx="16">
                  <c:v>109</c:v>
                </c:pt>
                <c:pt idx="17">
                  <c:v>106.5</c:v>
                </c:pt>
                <c:pt idx="18">
                  <c:v>107</c:v>
                </c:pt>
                <c:pt idx="19">
                  <c:v>113.5</c:v>
                </c:pt>
                <c:pt idx="20">
                  <c:v>113.5</c:v>
                </c:pt>
                <c:pt idx="21">
                  <c:v>114</c:v>
                </c:pt>
                <c:pt idx="22">
                  <c:v>113.5</c:v>
                </c:pt>
                <c:pt idx="23">
                  <c:v>106.5</c:v>
                </c:pt>
                <c:pt idx="24">
                  <c:v>105.5</c:v>
                </c:pt>
                <c:pt idx="25">
                  <c:v>102</c:v>
                </c:pt>
                <c:pt idx="26">
                  <c:v>101.5</c:v>
                </c:pt>
                <c:pt idx="27">
                  <c:v>99</c:v>
                </c:pt>
                <c:pt idx="28">
                  <c:v>97</c:v>
                </c:pt>
                <c:pt idx="29">
                  <c:v>97</c:v>
                </c:pt>
                <c:pt idx="30">
                  <c:v>97</c:v>
                </c:pt>
                <c:pt idx="31">
                  <c:v>110</c:v>
                </c:pt>
                <c:pt idx="32">
                  <c:v>117.5</c:v>
                </c:pt>
                <c:pt idx="33">
                  <c:v>113</c:v>
                </c:pt>
                <c:pt idx="34">
                  <c:v>111.5</c:v>
                </c:pt>
                <c:pt idx="35">
                  <c:v>102.5</c:v>
                </c:pt>
                <c:pt idx="36">
                  <c:v>98</c:v>
                </c:pt>
                <c:pt idx="37">
                  <c:v>101.5</c:v>
                </c:pt>
                <c:pt idx="38">
                  <c:v>98.5</c:v>
                </c:pt>
                <c:pt idx="39">
                  <c:v>97</c:v>
                </c:pt>
                <c:pt idx="40">
                  <c:v>94.5</c:v>
                </c:pt>
                <c:pt idx="41">
                  <c:v>96</c:v>
                </c:pt>
                <c:pt idx="42">
                  <c:v>94</c:v>
                </c:pt>
                <c:pt idx="43">
                  <c:v>94</c:v>
                </c:pt>
                <c:pt idx="44">
                  <c:v>91.5</c:v>
                </c:pt>
                <c:pt idx="45">
                  <c:v>83.5</c:v>
                </c:pt>
                <c:pt idx="46">
                  <c:v>75.5</c:v>
                </c:pt>
                <c:pt idx="47">
                  <c:v>73.5</c:v>
                </c:pt>
                <c:pt idx="48">
                  <c:v>74</c:v>
                </c:pt>
                <c:pt idx="49">
                  <c:v>78</c:v>
                </c:pt>
                <c:pt idx="50">
                  <c:v>80.5</c:v>
                </c:pt>
                <c:pt idx="51">
                  <c:v>84</c:v>
                </c:pt>
                <c:pt idx="52">
                  <c:v>84</c:v>
                </c:pt>
                <c:pt idx="53">
                  <c:v>84</c:v>
                </c:pt>
                <c:pt idx="54">
                  <c:v>82</c:v>
                </c:pt>
                <c:pt idx="55">
                  <c:v>84</c:v>
                </c:pt>
                <c:pt idx="56">
                  <c:v>84</c:v>
                </c:pt>
                <c:pt idx="57">
                  <c:v>87.75</c:v>
                </c:pt>
                <c:pt idx="58">
                  <c:v>87.75</c:v>
                </c:pt>
                <c:pt idx="59">
                  <c:v>89</c:v>
                </c:pt>
                <c:pt idx="60">
                  <c:v>90.5</c:v>
                </c:pt>
                <c:pt idx="61">
                  <c:v>89.5</c:v>
                </c:pt>
                <c:pt idx="62">
                  <c:v>87.5</c:v>
                </c:pt>
                <c:pt idx="63">
                  <c:v>88</c:v>
                </c:pt>
                <c:pt idx="64">
                  <c:v>87.5</c:v>
                </c:pt>
                <c:pt idx="65">
                  <c:v>88</c:v>
                </c:pt>
                <c:pt idx="66">
                  <c:v>86.5</c:v>
                </c:pt>
                <c:pt idx="67">
                  <c:v>89.5</c:v>
                </c:pt>
                <c:pt idx="68">
                  <c:v>92</c:v>
                </c:pt>
                <c:pt idx="69">
                  <c:v>94</c:v>
                </c:pt>
                <c:pt idx="70">
                  <c:v>95</c:v>
                </c:pt>
                <c:pt idx="71">
                  <c:v>95.5</c:v>
                </c:pt>
                <c:pt idx="72">
                  <c:v>93</c:v>
                </c:pt>
                <c:pt idx="73">
                  <c:v>91.5</c:v>
                </c:pt>
                <c:pt idx="74">
                  <c:v>93.5</c:v>
                </c:pt>
                <c:pt idx="75">
                  <c:v>96</c:v>
                </c:pt>
                <c:pt idx="76">
                  <c:v>96</c:v>
                </c:pt>
                <c:pt idx="77">
                  <c:v>100.5</c:v>
                </c:pt>
                <c:pt idx="78">
                  <c:v>100.5</c:v>
                </c:pt>
                <c:pt idx="79">
                  <c:v>100.5</c:v>
                </c:pt>
                <c:pt idx="80">
                  <c:v>101</c:v>
                </c:pt>
                <c:pt idx="81">
                  <c:v>103</c:v>
                </c:pt>
                <c:pt idx="82">
                  <c:v>103</c:v>
                </c:pt>
                <c:pt idx="83">
                  <c:v>103</c:v>
                </c:pt>
                <c:pt idx="84">
                  <c:v>94</c:v>
                </c:pt>
                <c:pt idx="85">
                  <c:v>94</c:v>
                </c:pt>
                <c:pt idx="86">
                  <c:v>92</c:v>
                </c:pt>
                <c:pt idx="87">
                  <c:v>90.5</c:v>
                </c:pt>
                <c:pt idx="88">
                  <c:v>89</c:v>
                </c:pt>
                <c:pt idx="89">
                  <c:v>89</c:v>
                </c:pt>
                <c:pt idx="90">
                  <c:v>89</c:v>
                </c:pt>
                <c:pt idx="91">
                  <c:v>88.5</c:v>
                </c:pt>
                <c:pt idx="92">
                  <c:v>85.5</c:v>
                </c:pt>
                <c:pt idx="93">
                  <c:v>85</c:v>
                </c:pt>
                <c:pt idx="94">
                  <c:v>83.5</c:v>
                </c:pt>
                <c:pt idx="95">
                  <c:v>84.5</c:v>
                </c:pt>
                <c:pt idx="96">
                  <c:v>82.5</c:v>
                </c:pt>
                <c:pt idx="97">
                  <c:v>83.5</c:v>
                </c:pt>
                <c:pt idx="98">
                  <c:v>85</c:v>
                </c:pt>
                <c:pt idx="99">
                  <c:v>86</c:v>
                </c:pt>
                <c:pt idx="100">
                  <c:v>87</c:v>
                </c:pt>
                <c:pt idx="101">
                  <c:v>89.5</c:v>
                </c:pt>
                <c:pt idx="102">
                  <c:v>89.5</c:v>
                </c:pt>
                <c:pt idx="103">
                  <c:v>90.5</c:v>
                </c:pt>
                <c:pt idx="104">
                  <c:v>91.5</c:v>
                </c:pt>
                <c:pt idx="105">
                  <c:v>90</c:v>
                </c:pt>
                <c:pt idx="106">
                  <c:v>89.5</c:v>
                </c:pt>
                <c:pt idx="107">
                  <c:v>90</c:v>
                </c:pt>
                <c:pt idx="108">
                  <c:v>93</c:v>
                </c:pt>
                <c:pt idx="109">
                  <c:v>95.5</c:v>
                </c:pt>
                <c:pt idx="110">
                  <c:v>97.5</c:v>
                </c:pt>
                <c:pt idx="111">
                  <c:v>101</c:v>
                </c:pt>
                <c:pt idx="112">
                  <c:v>101</c:v>
                </c:pt>
                <c:pt idx="113">
                  <c:v>101</c:v>
                </c:pt>
                <c:pt idx="114">
                  <c:v>98.5</c:v>
                </c:pt>
                <c:pt idx="115">
                  <c:v>95.5</c:v>
                </c:pt>
                <c:pt idx="116">
                  <c:v>92</c:v>
                </c:pt>
                <c:pt idx="117">
                  <c:v>90.5</c:v>
                </c:pt>
                <c:pt idx="118">
                  <c:v>88.5</c:v>
                </c:pt>
                <c:pt idx="119">
                  <c:v>87</c:v>
                </c:pt>
                <c:pt idx="120">
                  <c:v>89</c:v>
                </c:pt>
                <c:pt idx="121">
                  <c:v>90</c:v>
                </c:pt>
                <c:pt idx="122">
                  <c:v>90</c:v>
                </c:pt>
                <c:pt idx="123">
                  <c:v>89.5</c:v>
                </c:pt>
                <c:pt idx="124">
                  <c:v>90</c:v>
                </c:pt>
                <c:pt idx="125">
                  <c:v>90</c:v>
                </c:pt>
                <c:pt idx="126">
                  <c:v>96</c:v>
                </c:pt>
                <c:pt idx="127">
                  <c:v>100</c:v>
                </c:pt>
                <c:pt idx="128">
                  <c:v>100</c:v>
                </c:pt>
                <c:pt idx="129">
                  <c:v>100</c:v>
                </c:pt>
                <c:pt idx="130">
                  <c:v>99</c:v>
                </c:pt>
                <c:pt idx="131">
                  <c:v>96</c:v>
                </c:pt>
                <c:pt idx="132">
                  <c:v>98</c:v>
                </c:pt>
                <c:pt idx="133">
                  <c:v>104.5</c:v>
                </c:pt>
                <c:pt idx="134">
                  <c:v>111</c:v>
                </c:pt>
                <c:pt idx="135">
                  <c:v>114.5</c:v>
                </c:pt>
                <c:pt idx="136">
                  <c:v>125</c:v>
                </c:pt>
                <c:pt idx="137">
                  <c:v>125</c:v>
                </c:pt>
                <c:pt idx="138">
                  <c:v>125</c:v>
                </c:pt>
                <c:pt idx="139">
                  <c:v>127.5</c:v>
                </c:pt>
                <c:pt idx="140">
                  <c:v>127.5</c:v>
                </c:pt>
                <c:pt idx="141">
                  <c:v>134</c:v>
                </c:pt>
                <c:pt idx="142">
                  <c:v>134</c:v>
                </c:pt>
                <c:pt idx="143">
                  <c:v>134</c:v>
                </c:pt>
                <c:pt idx="144">
                  <c:v>125</c:v>
                </c:pt>
                <c:pt idx="145">
                  <c:v>118</c:v>
                </c:pt>
                <c:pt idx="146">
                  <c:v>112.5</c:v>
                </c:pt>
                <c:pt idx="147">
                  <c:v>110.5</c:v>
                </c:pt>
                <c:pt idx="148">
                  <c:v>113.5</c:v>
                </c:pt>
                <c:pt idx="149">
                  <c:v>119</c:v>
                </c:pt>
                <c:pt idx="150">
                  <c:v>123.5</c:v>
                </c:pt>
                <c:pt idx="151">
                  <c:v>129</c:v>
                </c:pt>
                <c:pt idx="152">
                  <c:v>129</c:v>
                </c:pt>
                <c:pt idx="153">
                  <c:v>132</c:v>
                </c:pt>
                <c:pt idx="154">
                  <c:v>130</c:v>
                </c:pt>
                <c:pt idx="155">
                  <c:v>129</c:v>
                </c:pt>
                <c:pt idx="156">
                  <c:v>132</c:v>
                </c:pt>
                <c:pt idx="157">
                  <c:v>139</c:v>
                </c:pt>
                <c:pt idx="158">
                  <c:v>141</c:v>
                </c:pt>
                <c:pt idx="159">
                  <c:v>142</c:v>
                </c:pt>
                <c:pt idx="160">
                  <c:v>139.5</c:v>
                </c:pt>
                <c:pt idx="161">
                  <c:v>136</c:v>
                </c:pt>
                <c:pt idx="162">
                  <c:v>129.5</c:v>
                </c:pt>
                <c:pt idx="163">
                  <c:v>139.5</c:v>
                </c:pt>
                <c:pt idx="164">
                  <c:v>144.5</c:v>
                </c:pt>
                <c:pt idx="165">
                  <c:v>149.5</c:v>
                </c:pt>
                <c:pt idx="166">
                  <c:v>149</c:v>
                </c:pt>
                <c:pt idx="167">
                  <c:v>143.5</c:v>
                </c:pt>
                <c:pt idx="168">
                  <c:v>143.5</c:v>
                </c:pt>
                <c:pt idx="169">
                  <c:v>149</c:v>
                </c:pt>
                <c:pt idx="170">
                  <c:v>151.5</c:v>
                </c:pt>
                <c:pt idx="171">
                  <c:v>153</c:v>
                </c:pt>
                <c:pt idx="172">
                  <c:v>153</c:v>
                </c:pt>
                <c:pt idx="173">
                  <c:v>151</c:v>
                </c:pt>
                <c:pt idx="174">
                  <c:v>148</c:v>
                </c:pt>
                <c:pt idx="175">
                  <c:v>146</c:v>
                </c:pt>
                <c:pt idx="176">
                  <c:v>150</c:v>
                </c:pt>
                <c:pt idx="177">
                  <c:v>154</c:v>
                </c:pt>
                <c:pt idx="178">
                  <c:v>151</c:v>
                </c:pt>
                <c:pt idx="179">
                  <c:v>155.5</c:v>
                </c:pt>
                <c:pt idx="180">
                  <c:v>156.5</c:v>
                </c:pt>
                <c:pt idx="181">
                  <c:v>158.5</c:v>
                </c:pt>
                <c:pt idx="182">
                  <c:v>157</c:v>
                </c:pt>
                <c:pt idx="183">
                  <c:v>156.5</c:v>
                </c:pt>
                <c:pt idx="184">
                  <c:v>156.5</c:v>
                </c:pt>
                <c:pt idx="185">
                  <c:v>153</c:v>
                </c:pt>
                <c:pt idx="186">
                  <c:v>149</c:v>
                </c:pt>
                <c:pt idx="187">
                  <c:v>141.5</c:v>
                </c:pt>
                <c:pt idx="188">
                  <c:v>127.5</c:v>
                </c:pt>
                <c:pt idx="189">
                  <c:v>120</c:v>
                </c:pt>
                <c:pt idx="190">
                  <c:v>124</c:v>
                </c:pt>
                <c:pt idx="191">
                  <c:v>126</c:v>
                </c:pt>
                <c:pt idx="192">
                  <c:v>124.5</c:v>
                </c:pt>
                <c:pt idx="193">
                  <c:v>126.5</c:v>
                </c:pt>
                <c:pt idx="194">
                  <c:v>130</c:v>
                </c:pt>
                <c:pt idx="195">
                  <c:v>125</c:v>
                </c:pt>
                <c:pt idx="196">
                  <c:v>127.5</c:v>
                </c:pt>
                <c:pt idx="197">
                  <c:v>131</c:v>
                </c:pt>
                <c:pt idx="198">
                  <c:v>129</c:v>
                </c:pt>
                <c:pt idx="199">
                  <c:v>127</c:v>
                </c:pt>
                <c:pt idx="200">
                  <c:v>132</c:v>
                </c:pt>
                <c:pt idx="201">
                  <c:v>129</c:v>
                </c:pt>
                <c:pt idx="202">
                  <c:v>136.5</c:v>
                </c:pt>
                <c:pt idx="203">
                  <c:v>141</c:v>
                </c:pt>
                <c:pt idx="204">
                  <c:v>146</c:v>
                </c:pt>
                <c:pt idx="205">
                  <c:v>161</c:v>
                </c:pt>
                <c:pt idx="206">
                  <c:v>163</c:v>
                </c:pt>
                <c:pt idx="207">
                  <c:v>166</c:v>
                </c:pt>
                <c:pt idx="208">
                  <c:v>176</c:v>
                </c:pt>
                <c:pt idx="209">
                  <c:v>186.5</c:v>
                </c:pt>
                <c:pt idx="210">
                  <c:v>200</c:v>
                </c:pt>
                <c:pt idx="211">
                  <c:v>208.5</c:v>
                </c:pt>
                <c:pt idx="212">
                  <c:v>213</c:v>
                </c:pt>
                <c:pt idx="213">
                  <c:v>209.5</c:v>
                </c:pt>
                <c:pt idx="214">
                  <c:v>204.5</c:v>
                </c:pt>
                <c:pt idx="215">
                  <c:v>190.5</c:v>
                </c:pt>
                <c:pt idx="216">
                  <c:v>204</c:v>
                </c:pt>
                <c:pt idx="217">
                  <c:v>213</c:v>
                </c:pt>
                <c:pt idx="218">
                  <c:v>213.5</c:v>
                </c:pt>
                <c:pt idx="219">
                  <c:v>216</c:v>
                </c:pt>
                <c:pt idx="220">
                  <c:v>220</c:v>
                </c:pt>
                <c:pt idx="221">
                  <c:v>236</c:v>
                </c:pt>
                <c:pt idx="222">
                  <c:v>239.5</c:v>
                </c:pt>
                <c:pt idx="223">
                  <c:v>239.5</c:v>
                </c:pt>
                <c:pt idx="224">
                  <c:v>234</c:v>
                </c:pt>
                <c:pt idx="225">
                  <c:v>229.5</c:v>
                </c:pt>
                <c:pt idx="226">
                  <c:v>212.5</c:v>
                </c:pt>
                <c:pt idx="227">
                  <c:v>196</c:v>
                </c:pt>
                <c:pt idx="228">
                  <c:v>212</c:v>
                </c:pt>
                <c:pt idx="229">
                  <c:v>192.5</c:v>
                </c:pt>
                <c:pt idx="230">
                  <c:v>187.5</c:v>
                </c:pt>
                <c:pt idx="231">
                  <c:v>180</c:v>
                </c:pt>
                <c:pt idx="232">
                  <c:v>177</c:v>
                </c:pt>
                <c:pt idx="233">
                  <c:v>175</c:v>
                </c:pt>
                <c:pt idx="234">
                  <c:v>187.5</c:v>
                </c:pt>
                <c:pt idx="235">
                  <c:v>193.5</c:v>
                </c:pt>
                <c:pt idx="236">
                  <c:v>184</c:v>
                </c:pt>
                <c:pt idx="237">
                  <c:v>174.5</c:v>
                </c:pt>
                <c:pt idx="238">
                  <c:v>171.5</c:v>
                </c:pt>
                <c:pt idx="239">
                  <c:v>170</c:v>
                </c:pt>
                <c:pt idx="240">
                  <c:v>181.5</c:v>
                </c:pt>
                <c:pt idx="241">
                  <c:v>192</c:v>
                </c:pt>
                <c:pt idx="242">
                  <c:v>197.5</c:v>
                </c:pt>
                <c:pt idx="243">
                  <c:v>201</c:v>
                </c:pt>
                <c:pt idx="244">
                  <c:v>215</c:v>
                </c:pt>
                <c:pt idx="245">
                  <c:v>215</c:v>
                </c:pt>
                <c:pt idx="246">
                  <c:v>222.5</c:v>
                </c:pt>
                <c:pt idx="247">
                  <c:v>228.5</c:v>
                </c:pt>
                <c:pt idx="248">
                  <c:v>238.5</c:v>
                </c:pt>
                <c:pt idx="249">
                  <c:v>247.5</c:v>
                </c:pt>
                <c:pt idx="250">
                  <c:v>234.5</c:v>
                </c:pt>
                <c:pt idx="251">
                  <c:v>257.5</c:v>
                </c:pt>
                <c:pt idx="252">
                  <c:v>255</c:v>
                </c:pt>
                <c:pt idx="253">
                  <c:v>255</c:v>
                </c:pt>
                <c:pt idx="254">
                  <c:v>240</c:v>
                </c:pt>
                <c:pt idx="255">
                  <c:v>224.5</c:v>
                </c:pt>
                <c:pt idx="256">
                  <c:v>203</c:v>
                </c:pt>
                <c:pt idx="257">
                  <c:v>206.5</c:v>
                </c:pt>
                <c:pt idx="258">
                  <c:v>220</c:v>
                </c:pt>
                <c:pt idx="259">
                  <c:v>219.5</c:v>
                </c:pt>
                <c:pt idx="260">
                  <c:v>213</c:v>
                </c:pt>
                <c:pt idx="261">
                  <c:v>205.5</c:v>
                </c:pt>
                <c:pt idx="262">
                  <c:v>200</c:v>
                </c:pt>
                <c:pt idx="263">
                  <c:v>200</c:v>
                </c:pt>
                <c:pt idx="264">
                  <c:v>201</c:v>
                </c:pt>
                <c:pt idx="265">
                  <c:v>205</c:v>
                </c:pt>
                <c:pt idx="266">
                  <c:v>202</c:v>
                </c:pt>
                <c:pt idx="267">
                  <c:v>210</c:v>
                </c:pt>
                <c:pt idx="268">
                  <c:v>204</c:v>
                </c:pt>
                <c:pt idx="269">
                  <c:v>204</c:v>
                </c:pt>
                <c:pt idx="270">
                  <c:v>201.5</c:v>
                </c:pt>
                <c:pt idx="271">
                  <c:v>203.5</c:v>
                </c:pt>
                <c:pt idx="272">
                  <c:v>211</c:v>
                </c:pt>
                <c:pt idx="273">
                  <c:v>211.5</c:v>
                </c:pt>
                <c:pt idx="274">
                  <c:v>212.5</c:v>
                </c:pt>
                <c:pt idx="275">
                  <c:v>221</c:v>
                </c:pt>
                <c:pt idx="276">
                  <c:v>224</c:v>
                </c:pt>
                <c:pt idx="277">
                  <c:v>220</c:v>
                </c:pt>
                <c:pt idx="278">
                  <c:v>216.5</c:v>
                </c:pt>
                <c:pt idx="279">
                  <c:v>211.5</c:v>
                </c:pt>
                <c:pt idx="280">
                  <c:v>207.5</c:v>
                </c:pt>
                <c:pt idx="281">
                  <c:v>197.5</c:v>
                </c:pt>
                <c:pt idx="282">
                  <c:v>195</c:v>
                </c:pt>
                <c:pt idx="283">
                  <c:v>205</c:v>
                </c:pt>
                <c:pt idx="284">
                  <c:v>199</c:v>
                </c:pt>
                <c:pt idx="285">
                  <c:v>195.5</c:v>
                </c:pt>
                <c:pt idx="286">
                  <c:v>189</c:v>
                </c:pt>
                <c:pt idx="287">
                  <c:v>196.5</c:v>
                </c:pt>
                <c:pt idx="288">
                  <c:v>205</c:v>
                </c:pt>
                <c:pt idx="289">
                  <c:v>211</c:v>
                </c:pt>
                <c:pt idx="290">
                  <c:v>207.5</c:v>
                </c:pt>
                <c:pt idx="291">
                  <c:v>215</c:v>
                </c:pt>
                <c:pt idx="292">
                  <c:v>227.5</c:v>
                </c:pt>
                <c:pt idx="293">
                  <c:v>232.5</c:v>
                </c:pt>
                <c:pt idx="294">
                  <c:v>245</c:v>
                </c:pt>
                <c:pt idx="295">
                  <c:v>245</c:v>
                </c:pt>
                <c:pt idx="296">
                  <c:v>240</c:v>
                </c:pt>
                <c:pt idx="297">
                  <c:v>245</c:v>
                </c:pt>
                <c:pt idx="298">
                  <c:v>240</c:v>
                </c:pt>
                <c:pt idx="299">
                  <c:v>240</c:v>
                </c:pt>
                <c:pt idx="300">
                  <c:v>239.5</c:v>
                </c:pt>
                <c:pt idx="301">
                  <c:v>235</c:v>
                </c:pt>
                <c:pt idx="302">
                  <c:v>230</c:v>
                </c:pt>
                <c:pt idx="303">
                  <c:v>222.5</c:v>
                </c:pt>
                <c:pt idx="304">
                  <c:v>212</c:v>
                </c:pt>
                <c:pt idx="305">
                  <c:v>212</c:v>
                </c:pt>
                <c:pt idx="306">
                  <c:v>197.5</c:v>
                </c:pt>
                <c:pt idx="307">
                  <c:v>198</c:v>
                </c:pt>
                <c:pt idx="308">
                  <c:v>201</c:v>
                </c:pt>
                <c:pt idx="309">
                  <c:v>201</c:v>
                </c:pt>
                <c:pt idx="310">
                  <c:v>200</c:v>
                </c:pt>
                <c:pt idx="311">
                  <c:v>200</c:v>
                </c:pt>
                <c:pt idx="312">
                  <c:v>195</c:v>
                </c:pt>
                <c:pt idx="313">
                  <c:v>205</c:v>
                </c:pt>
                <c:pt idx="314">
                  <c:v>208</c:v>
                </c:pt>
                <c:pt idx="315">
                  <c:v>211.5</c:v>
                </c:pt>
                <c:pt idx="316">
                  <c:v>214</c:v>
                </c:pt>
                <c:pt idx="317">
                  <c:v>211.5</c:v>
                </c:pt>
                <c:pt idx="318">
                  <c:v>207.5</c:v>
                </c:pt>
                <c:pt idx="319">
                  <c:v>205</c:v>
                </c:pt>
                <c:pt idx="320">
                  <c:v>208.5</c:v>
                </c:pt>
                <c:pt idx="321">
                  <c:v>204</c:v>
                </c:pt>
                <c:pt idx="322">
                  <c:v>196</c:v>
                </c:pt>
                <c:pt idx="323">
                  <c:v>202.5</c:v>
                </c:pt>
                <c:pt idx="324">
                  <c:v>206</c:v>
                </c:pt>
                <c:pt idx="325">
                  <c:v>207</c:v>
                </c:pt>
                <c:pt idx="326">
                  <c:v>209</c:v>
                </c:pt>
                <c:pt idx="327">
                  <c:v>217.5</c:v>
                </c:pt>
                <c:pt idx="328">
                  <c:v>227.5</c:v>
                </c:pt>
                <c:pt idx="329">
                  <c:v>240</c:v>
                </c:pt>
                <c:pt idx="330">
                  <c:v>245</c:v>
                </c:pt>
                <c:pt idx="331">
                  <c:v>247.5</c:v>
                </c:pt>
                <c:pt idx="332">
                  <c:v>246</c:v>
                </c:pt>
                <c:pt idx="333">
                  <c:v>250</c:v>
                </c:pt>
                <c:pt idx="334">
                  <c:v>250.5</c:v>
                </c:pt>
                <c:pt idx="335">
                  <c:v>252</c:v>
                </c:pt>
                <c:pt idx="336">
                  <c:v>266</c:v>
                </c:pt>
                <c:pt idx="337">
                  <c:v>272</c:v>
                </c:pt>
                <c:pt idx="338">
                  <c:v>275</c:v>
                </c:pt>
                <c:pt idx="339">
                  <c:v>281.5</c:v>
                </c:pt>
                <c:pt idx="340">
                  <c:v>292.5</c:v>
                </c:pt>
                <c:pt idx="341">
                  <c:v>301</c:v>
                </c:pt>
                <c:pt idx="342">
                  <c:v>307</c:v>
                </c:pt>
                <c:pt idx="343">
                  <c:v>310</c:v>
                </c:pt>
                <c:pt idx="344">
                  <c:v>311.5</c:v>
                </c:pt>
                <c:pt idx="345">
                  <c:v>307.5</c:v>
                </c:pt>
                <c:pt idx="346">
                  <c:v>297.5</c:v>
                </c:pt>
                <c:pt idx="347">
                  <c:v>292.5</c:v>
                </c:pt>
                <c:pt idx="348">
                  <c:v>280</c:v>
                </c:pt>
                <c:pt idx="349">
                  <c:v>280.5</c:v>
                </c:pt>
                <c:pt idx="350">
                  <c:v>286</c:v>
                </c:pt>
                <c:pt idx="351">
                  <c:v>296</c:v>
                </c:pt>
                <c:pt idx="352">
                  <c:v>287.5</c:v>
                </c:pt>
                <c:pt idx="353">
                  <c:v>289</c:v>
                </c:pt>
                <c:pt idx="354">
                  <c:v>283.5</c:v>
                </c:pt>
                <c:pt idx="355">
                  <c:v>285</c:v>
                </c:pt>
                <c:pt idx="356">
                  <c:v>282.5</c:v>
                </c:pt>
                <c:pt idx="357">
                  <c:v>272.5</c:v>
                </c:pt>
                <c:pt idx="358">
                  <c:v>271.5</c:v>
                </c:pt>
                <c:pt idx="359">
                  <c:v>271.5</c:v>
                </c:pt>
                <c:pt idx="360">
                  <c:v>268</c:v>
                </c:pt>
                <c:pt idx="361">
                  <c:v>263</c:v>
                </c:pt>
                <c:pt idx="362">
                  <c:v>257</c:v>
                </c:pt>
                <c:pt idx="363">
                  <c:v>252</c:v>
                </c:pt>
                <c:pt idx="364">
                  <c:v>245.5</c:v>
                </c:pt>
                <c:pt idx="365">
                  <c:v>252.5</c:v>
                </c:pt>
                <c:pt idx="366">
                  <c:v>276.5</c:v>
                </c:pt>
                <c:pt idx="367">
                  <c:v>297.5</c:v>
                </c:pt>
                <c:pt idx="368">
                  <c:v>302.5</c:v>
                </c:pt>
                <c:pt idx="369">
                  <c:v>306.5</c:v>
                </c:pt>
                <c:pt idx="370">
                  <c:v>305.5</c:v>
                </c:pt>
                <c:pt idx="371">
                  <c:v>313.5</c:v>
                </c:pt>
                <c:pt idx="372">
                  <c:v>318.5</c:v>
                </c:pt>
                <c:pt idx="373">
                  <c:v>324.5</c:v>
                </c:pt>
                <c:pt idx="374">
                  <c:v>328.5</c:v>
                </c:pt>
                <c:pt idx="375">
                  <c:v>327.5</c:v>
                </c:pt>
                <c:pt idx="376">
                  <c:v>346.5</c:v>
                </c:pt>
                <c:pt idx="377">
                  <c:v>352.5</c:v>
                </c:pt>
                <c:pt idx="378">
                  <c:v>360</c:v>
                </c:pt>
                <c:pt idx="379">
                  <c:v>385</c:v>
                </c:pt>
                <c:pt idx="380">
                  <c:v>390</c:v>
                </c:pt>
                <c:pt idx="381">
                  <c:v>391</c:v>
                </c:pt>
                <c:pt idx="382">
                  <c:v>384</c:v>
                </c:pt>
                <c:pt idx="383">
                  <c:v>380</c:v>
                </c:pt>
                <c:pt idx="384">
                  <c:v>377.5</c:v>
                </c:pt>
                <c:pt idx="385">
                  <c:v>377.5</c:v>
                </c:pt>
                <c:pt idx="386">
                  <c:v>370</c:v>
                </c:pt>
                <c:pt idx="387">
                  <c:v>360</c:v>
                </c:pt>
                <c:pt idx="388">
                  <c:v>340</c:v>
                </c:pt>
                <c:pt idx="389">
                  <c:v>322.5</c:v>
                </c:pt>
                <c:pt idx="390">
                  <c:v>327.5</c:v>
                </c:pt>
                <c:pt idx="391">
                  <c:v>324</c:v>
                </c:pt>
                <c:pt idx="392">
                  <c:v>315</c:v>
                </c:pt>
                <c:pt idx="393">
                  <c:v>330</c:v>
                </c:pt>
                <c:pt idx="394">
                  <c:v>365</c:v>
                </c:pt>
                <c:pt idx="395">
                  <c:v>392.5</c:v>
                </c:pt>
                <c:pt idx="396">
                  <c:v>382</c:v>
                </c:pt>
                <c:pt idx="397">
                  <c:v>385</c:v>
                </c:pt>
                <c:pt idx="398">
                  <c:v>407.5</c:v>
                </c:pt>
                <c:pt idx="399">
                  <c:v>477.5</c:v>
                </c:pt>
                <c:pt idx="400">
                  <c:v>530</c:v>
                </c:pt>
                <c:pt idx="401">
                  <c:v>330</c:v>
                </c:pt>
                <c:pt idx="402">
                  <c:v>280</c:v>
                </c:pt>
                <c:pt idx="403">
                  <c:v>282.5</c:v>
                </c:pt>
                <c:pt idx="404">
                  <c:v>245</c:v>
                </c:pt>
                <c:pt idx="405">
                  <c:v>250</c:v>
                </c:pt>
                <c:pt idx="406">
                  <c:v>238.5</c:v>
                </c:pt>
                <c:pt idx="407">
                  <c:v>240</c:v>
                </c:pt>
                <c:pt idx="408">
                  <c:v>236.5</c:v>
                </c:pt>
                <c:pt idx="409">
                  <c:v>230.5</c:v>
                </c:pt>
                <c:pt idx="410">
                  <c:v>226</c:v>
                </c:pt>
                <c:pt idx="411">
                  <c:v>215</c:v>
                </c:pt>
                <c:pt idx="412">
                  <c:v>220</c:v>
                </c:pt>
                <c:pt idx="413">
                  <c:v>272.5</c:v>
                </c:pt>
                <c:pt idx="414">
                  <c:v>280</c:v>
                </c:pt>
                <c:pt idx="415">
                  <c:v>260</c:v>
                </c:pt>
                <c:pt idx="416">
                  <c:v>263</c:v>
                </c:pt>
                <c:pt idx="417">
                  <c:v>272.5</c:v>
                </c:pt>
                <c:pt idx="418">
                  <c:v>275</c:v>
                </c:pt>
                <c:pt idx="419">
                  <c:v>278</c:v>
                </c:pt>
                <c:pt idx="420">
                  <c:v>275</c:v>
                </c:pt>
                <c:pt idx="421">
                  <c:v>272.5</c:v>
                </c:pt>
                <c:pt idx="422">
                  <c:v>257.5</c:v>
                </c:pt>
                <c:pt idx="423">
                  <c:v>248.5</c:v>
                </c:pt>
                <c:pt idx="424">
                  <c:v>248</c:v>
                </c:pt>
                <c:pt idx="425">
                  <c:v>245.5</c:v>
                </c:pt>
                <c:pt idx="426">
                  <c:v>238</c:v>
                </c:pt>
                <c:pt idx="427">
                  <c:v>236</c:v>
                </c:pt>
                <c:pt idx="428">
                  <c:v>241</c:v>
                </c:pt>
                <c:pt idx="429">
                  <c:v>242</c:v>
                </c:pt>
                <c:pt idx="430">
                  <c:v>242</c:v>
                </c:pt>
                <c:pt idx="431">
                  <c:v>232.5</c:v>
                </c:pt>
                <c:pt idx="432">
                  <c:v>233.5</c:v>
                </c:pt>
                <c:pt idx="433">
                  <c:v>236</c:v>
                </c:pt>
                <c:pt idx="434">
                  <c:v>234</c:v>
                </c:pt>
                <c:pt idx="435">
                  <c:v>234</c:v>
                </c:pt>
                <c:pt idx="436">
                  <c:v>236</c:v>
                </c:pt>
                <c:pt idx="437">
                  <c:v>236</c:v>
                </c:pt>
                <c:pt idx="438">
                  <c:v>238</c:v>
                </c:pt>
                <c:pt idx="439">
                  <c:v>242.5</c:v>
                </c:pt>
                <c:pt idx="440">
                  <c:v>253.5</c:v>
                </c:pt>
                <c:pt idx="441">
                  <c:v>252.5</c:v>
                </c:pt>
                <c:pt idx="442">
                  <c:v>251.5</c:v>
                </c:pt>
                <c:pt idx="443">
                  <c:v>245.5</c:v>
                </c:pt>
                <c:pt idx="444">
                  <c:v>245.5</c:v>
                </c:pt>
                <c:pt idx="445">
                  <c:v>232.5</c:v>
                </c:pt>
                <c:pt idx="446">
                  <c:v>235</c:v>
                </c:pt>
                <c:pt idx="447">
                  <c:v>234</c:v>
                </c:pt>
                <c:pt idx="448">
                  <c:v>233.5</c:v>
                </c:pt>
                <c:pt idx="449">
                  <c:v>229</c:v>
                </c:pt>
                <c:pt idx="450">
                  <c:v>233</c:v>
                </c:pt>
                <c:pt idx="451">
                  <c:v>233</c:v>
                </c:pt>
                <c:pt idx="452">
                  <c:v>232</c:v>
                </c:pt>
                <c:pt idx="453">
                  <c:v>231.5</c:v>
                </c:pt>
                <c:pt idx="454">
                  <c:v>230.5</c:v>
                </c:pt>
                <c:pt idx="455">
                  <c:v>229</c:v>
                </c:pt>
                <c:pt idx="456">
                  <c:v>231</c:v>
                </c:pt>
                <c:pt idx="457">
                  <c:v>241.5</c:v>
                </c:pt>
                <c:pt idx="458">
                  <c:v>252.5</c:v>
                </c:pt>
                <c:pt idx="459">
                  <c:v>252.5</c:v>
                </c:pt>
                <c:pt idx="460">
                  <c:v>250</c:v>
                </c:pt>
                <c:pt idx="461">
                  <c:v>252.5</c:v>
                </c:pt>
                <c:pt idx="462">
                  <c:v>258.5</c:v>
                </c:pt>
                <c:pt idx="463">
                  <c:v>260</c:v>
                </c:pt>
                <c:pt idx="464">
                  <c:v>272</c:v>
                </c:pt>
                <c:pt idx="465">
                  <c:v>279</c:v>
                </c:pt>
                <c:pt idx="466">
                  <c:v>287</c:v>
                </c:pt>
                <c:pt idx="467">
                  <c:v>287</c:v>
                </c:pt>
                <c:pt idx="468">
                  <c:v>280</c:v>
                </c:pt>
                <c:pt idx="469">
                  <c:v>274</c:v>
                </c:pt>
                <c:pt idx="470">
                  <c:v>271</c:v>
                </c:pt>
                <c:pt idx="471">
                  <c:v>273.5</c:v>
                </c:pt>
                <c:pt idx="472">
                  <c:v>273.5</c:v>
                </c:pt>
                <c:pt idx="473">
                  <c:v>268.5</c:v>
                </c:pt>
                <c:pt idx="474">
                  <c:v>261.5</c:v>
                </c:pt>
                <c:pt idx="475">
                  <c:v>251.5</c:v>
                </c:pt>
                <c:pt idx="476">
                  <c:v>244</c:v>
                </c:pt>
                <c:pt idx="477">
                  <c:v>242.5</c:v>
                </c:pt>
                <c:pt idx="478">
                  <c:v>235.5</c:v>
                </c:pt>
                <c:pt idx="479">
                  <c:v>232</c:v>
                </c:pt>
                <c:pt idx="480">
                  <c:v>231.5</c:v>
                </c:pt>
                <c:pt idx="481">
                  <c:v>222.5</c:v>
                </c:pt>
                <c:pt idx="482">
                  <c:v>218.5</c:v>
                </c:pt>
                <c:pt idx="483">
                  <c:v>219.5</c:v>
                </c:pt>
                <c:pt idx="484">
                  <c:v>224</c:v>
                </c:pt>
                <c:pt idx="485">
                  <c:v>233.5</c:v>
                </c:pt>
                <c:pt idx="486">
                  <c:v>234.5</c:v>
                </c:pt>
                <c:pt idx="487">
                  <c:v>241</c:v>
                </c:pt>
                <c:pt idx="488">
                  <c:v>247</c:v>
                </c:pt>
                <c:pt idx="489">
                  <c:v>244.5</c:v>
                </c:pt>
                <c:pt idx="490">
                  <c:v>242.5</c:v>
                </c:pt>
                <c:pt idx="491">
                  <c:v>248</c:v>
                </c:pt>
                <c:pt idx="492">
                  <c:v>265</c:v>
                </c:pt>
                <c:pt idx="493">
                  <c:v>280</c:v>
                </c:pt>
                <c:pt idx="494">
                  <c:v>273.5</c:v>
                </c:pt>
                <c:pt idx="495">
                  <c:v>273.5</c:v>
                </c:pt>
                <c:pt idx="496">
                  <c:v>289.5</c:v>
                </c:pt>
                <c:pt idx="497">
                  <c:v>315</c:v>
                </c:pt>
                <c:pt idx="498">
                  <c:v>337.5</c:v>
                </c:pt>
                <c:pt idx="499">
                  <c:v>327.5</c:v>
                </c:pt>
                <c:pt idx="500">
                  <c:v>328.5</c:v>
                </c:pt>
                <c:pt idx="501">
                  <c:v>324</c:v>
                </c:pt>
                <c:pt idx="502">
                  <c:v>323.5</c:v>
                </c:pt>
                <c:pt idx="503">
                  <c:v>336.5</c:v>
                </c:pt>
                <c:pt idx="504">
                  <c:v>338</c:v>
                </c:pt>
                <c:pt idx="505">
                  <c:v>347.5</c:v>
                </c:pt>
                <c:pt idx="506">
                  <c:v>363</c:v>
                </c:pt>
                <c:pt idx="507">
                  <c:v>372.5</c:v>
                </c:pt>
                <c:pt idx="508">
                  <c:v>368</c:v>
                </c:pt>
                <c:pt idx="509">
                  <c:v>362.5</c:v>
                </c:pt>
                <c:pt idx="510">
                  <c:v>357.5</c:v>
                </c:pt>
                <c:pt idx="511">
                  <c:v>362.5</c:v>
                </c:pt>
                <c:pt idx="512">
                  <c:v>363.5</c:v>
                </c:pt>
                <c:pt idx="513">
                  <c:v>360</c:v>
                </c:pt>
                <c:pt idx="514">
                  <c:v>366</c:v>
                </c:pt>
                <c:pt idx="515">
                  <c:v>363.5</c:v>
                </c:pt>
                <c:pt idx="516">
                  <c:v>359</c:v>
                </c:pt>
                <c:pt idx="517">
                  <c:v>359</c:v>
                </c:pt>
                <c:pt idx="518">
                  <c:v>358</c:v>
                </c:pt>
                <c:pt idx="519">
                  <c:v>351</c:v>
                </c:pt>
                <c:pt idx="520">
                  <c:v>335</c:v>
                </c:pt>
                <c:pt idx="521">
                  <c:v>325</c:v>
                </c:pt>
                <c:pt idx="522">
                  <c:v>312.5</c:v>
                </c:pt>
                <c:pt idx="523">
                  <c:v>310</c:v>
                </c:pt>
                <c:pt idx="524">
                  <c:v>302.5</c:v>
                </c:pt>
                <c:pt idx="525">
                  <c:v>311</c:v>
                </c:pt>
                <c:pt idx="526">
                  <c:v>333</c:v>
                </c:pt>
                <c:pt idx="527">
                  <c:v>342.5</c:v>
                </c:pt>
                <c:pt idx="528">
                  <c:v>347.5</c:v>
                </c:pt>
                <c:pt idx="529">
                  <c:v>365</c:v>
                </c:pt>
                <c:pt idx="530">
                  <c:v>370</c:v>
                </c:pt>
                <c:pt idx="531">
                  <c:v>404.5</c:v>
                </c:pt>
                <c:pt idx="532">
                  <c:v>412.5</c:v>
                </c:pt>
                <c:pt idx="533">
                  <c:v>426</c:v>
                </c:pt>
                <c:pt idx="534">
                  <c:v>461</c:v>
                </c:pt>
                <c:pt idx="535">
                  <c:v>485</c:v>
                </c:pt>
                <c:pt idx="536">
                  <c:v>507.5</c:v>
                </c:pt>
                <c:pt idx="537">
                  <c:v>495</c:v>
                </c:pt>
                <c:pt idx="538">
                  <c:v>465</c:v>
                </c:pt>
                <c:pt idx="539">
                  <c:v>445</c:v>
                </c:pt>
                <c:pt idx="540">
                  <c:v>465</c:v>
                </c:pt>
                <c:pt idx="541">
                  <c:v>465</c:v>
                </c:pt>
                <c:pt idx="542">
                  <c:v>475</c:v>
                </c:pt>
                <c:pt idx="543">
                  <c:v>465</c:v>
                </c:pt>
                <c:pt idx="544">
                  <c:v>469.5</c:v>
                </c:pt>
                <c:pt idx="545">
                  <c:v>475</c:v>
                </c:pt>
                <c:pt idx="546">
                  <c:v>486.5</c:v>
                </c:pt>
                <c:pt idx="547">
                  <c:v>492.5</c:v>
                </c:pt>
                <c:pt idx="548">
                  <c:v>502</c:v>
                </c:pt>
                <c:pt idx="549">
                  <c:v>502.5</c:v>
                </c:pt>
                <c:pt idx="550">
                  <c:v>500</c:v>
                </c:pt>
                <c:pt idx="551">
                  <c:v>470</c:v>
                </c:pt>
                <c:pt idx="552">
                  <c:v>472.5</c:v>
                </c:pt>
                <c:pt idx="553">
                  <c:v>481.5</c:v>
                </c:pt>
                <c:pt idx="554">
                  <c:v>484</c:v>
                </c:pt>
                <c:pt idx="555">
                  <c:v>476.5</c:v>
                </c:pt>
                <c:pt idx="556">
                  <c:v>468</c:v>
                </c:pt>
                <c:pt idx="557">
                  <c:v>462.5</c:v>
                </c:pt>
                <c:pt idx="558">
                  <c:v>460</c:v>
                </c:pt>
                <c:pt idx="559">
                  <c:v>400</c:v>
                </c:pt>
                <c:pt idx="560">
                  <c:v>365</c:v>
                </c:pt>
                <c:pt idx="561">
                  <c:v>333.5</c:v>
                </c:pt>
                <c:pt idx="562">
                  <c:v>307.5</c:v>
                </c:pt>
                <c:pt idx="563">
                  <c:v>315</c:v>
                </c:pt>
                <c:pt idx="564">
                  <c:v>330</c:v>
                </c:pt>
                <c:pt idx="565">
                  <c:v>367.5</c:v>
                </c:pt>
                <c:pt idx="566">
                  <c:v>362.5</c:v>
                </c:pt>
                <c:pt idx="567">
                  <c:v>360</c:v>
                </c:pt>
                <c:pt idx="568">
                  <c:v>364</c:v>
                </c:pt>
                <c:pt idx="569">
                  <c:v>360</c:v>
                </c:pt>
                <c:pt idx="570">
                  <c:v>370</c:v>
                </c:pt>
                <c:pt idx="571">
                  <c:v>377.5</c:v>
                </c:pt>
                <c:pt idx="572">
                  <c:v>387.5</c:v>
                </c:pt>
                <c:pt idx="573">
                  <c:v>390</c:v>
                </c:pt>
                <c:pt idx="574">
                  <c:v>392.5</c:v>
                </c:pt>
                <c:pt idx="575">
                  <c:v>425</c:v>
                </c:pt>
                <c:pt idx="576">
                  <c:v>442.5</c:v>
                </c:pt>
                <c:pt idx="577">
                  <c:v>450</c:v>
                </c:pt>
                <c:pt idx="578">
                  <c:v>493.5</c:v>
                </c:pt>
                <c:pt idx="579">
                  <c:v>508.5</c:v>
                </c:pt>
                <c:pt idx="580">
                  <c:v>508.5</c:v>
                </c:pt>
                <c:pt idx="581">
                  <c:v>516</c:v>
                </c:pt>
                <c:pt idx="582">
                  <c:v>527.5</c:v>
                </c:pt>
                <c:pt idx="583">
                  <c:v>485</c:v>
                </c:pt>
                <c:pt idx="584">
                  <c:v>475</c:v>
                </c:pt>
                <c:pt idx="585">
                  <c:v>455</c:v>
                </c:pt>
                <c:pt idx="586">
                  <c:v>442.5</c:v>
                </c:pt>
                <c:pt idx="587">
                  <c:v>435</c:v>
                </c:pt>
                <c:pt idx="588">
                  <c:v>400</c:v>
                </c:pt>
                <c:pt idx="589">
                  <c:v>367.5</c:v>
                </c:pt>
                <c:pt idx="590">
                  <c:v>357.5</c:v>
                </c:pt>
                <c:pt idx="591">
                  <c:v>402.5</c:v>
                </c:pt>
                <c:pt idx="592">
                  <c:v>380</c:v>
                </c:pt>
                <c:pt idx="593">
                  <c:v>380</c:v>
                </c:pt>
                <c:pt idx="594">
                  <c:v>381.5</c:v>
                </c:pt>
                <c:pt idx="595">
                  <c:v>370</c:v>
                </c:pt>
                <c:pt idx="596">
                  <c:v>365</c:v>
                </c:pt>
                <c:pt idx="597">
                  <c:v>367.5</c:v>
                </c:pt>
                <c:pt idx="598">
                  <c:v>375</c:v>
                </c:pt>
                <c:pt idx="599">
                  <c:v>372.5</c:v>
                </c:pt>
                <c:pt idx="600">
                  <c:v>378.5</c:v>
                </c:pt>
                <c:pt idx="601">
                  <c:v>385</c:v>
                </c:pt>
                <c:pt idx="602">
                  <c:v>385</c:v>
                </c:pt>
                <c:pt idx="603">
                  <c:v>390</c:v>
                </c:pt>
                <c:pt idx="604">
                  <c:v>402.5</c:v>
                </c:pt>
                <c:pt idx="605">
                  <c:v>400</c:v>
                </c:pt>
                <c:pt idx="606">
                  <c:v>383.5</c:v>
                </c:pt>
                <c:pt idx="607">
                  <c:v>377.5</c:v>
                </c:pt>
                <c:pt idx="608">
                  <c:v>365</c:v>
                </c:pt>
                <c:pt idx="609">
                  <c:v>359</c:v>
                </c:pt>
                <c:pt idx="610">
                  <c:v>367</c:v>
                </c:pt>
                <c:pt idx="611">
                  <c:v>365</c:v>
                </c:pt>
                <c:pt idx="612">
                  <c:v>369</c:v>
                </c:pt>
                <c:pt idx="613">
                  <c:v>367.5</c:v>
                </c:pt>
                <c:pt idx="614">
                  <c:v>366.5</c:v>
                </c:pt>
                <c:pt idx="615">
                  <c:v>365</c:v>
                </c:pt>
                <c:pt idx="616">
                  <c:v>367</c:v>
                </c:pt>
                <c:pt idx="617">
                  <c:v>370</c:v>
                </c:pt>
                <c:pt idx="618">
                  <c:v>378</c:v>
                </c:pt>
                <c:pt idx="619">
                  <c:v>385</c:v>
                </c:pt>
                <c:pt idx="620">
                  <c:v>400</c:v>
                </c:pt>
                <c:pt idx="621">
                  <c:v>412.5</c:v>
                </c:pt>
                <c:pt idx="622">
                  <c:v>415</c:v>
                </c:pt>
                <c:pt idx="623">
                  <c:v>387.5</c:v>
                </c:pt>
                <c:pt idx="624">
                  <c:v>380</c:v>
                </c:pt>
                <c:pt idx="625">
                  <c:v>380</c:v>
                </c:pt>
                <c:pt idx="626">
                  <c:v>377.5</c:v>
                </c:pt>
                <c:pt idx="627">
                  <c:v>372.5</c:v>
                </c:pt>
                <c:pt idx="628">
                  <c:v>372.5</c:v>
                </c:pt>
                <c:pt idx="629">
                  <c:v>372.5</c:v>
                </c:pt>
                <c:pt idx="630">
                  <c:v>352.5</c:v>
                </c:pt>
                <c:pt idx="631">
                  <c:v>346</c:v>
                </c:pt>
                <c:pt idx="632">
                  <c:v>353.5</c:v>
                </c:pt>
                <c:pt idx="633">
                  <c:v>347.5</c:v>
                </c:pt>
                <c:pt idx="634">
                  <c:v>342.5</c:v>
                </c:pt>
                <c:pt idx="635">
                  <c:v>340</c:v>
                </c:pt>
                <c:pt idx="636">
                  <c:v>337.5</c:v>
                </c:pt>
                <c:pt idx="637">
                  <c:v>337.5</c:v>
                </c:pt>
                <c:pt idx="638">
                  <c:v>327.5</c:v>
                </c:pt>
                <c:pt idx="639">
                  <c:v>305</c:v>
                </c:pt>
                <c:pt idx="640">
                  <c:v>307.5</c:v>
                </c:pt>
                <c:pt idx="641">
                  <c:v>307.5</c:v>
                </c:pt>
                <c:pt idx="642">
                  <c:v>317.5</c:v>
                </c:pt>
                <c:pt idx="643">
                  <c:v>317.5</c:v>
                </c:pt>
                <c:pt idx="644">
                  <c:v>322.5</c:v>
                </c:pt>
                <c:pt idx="645">
                  <c:v>321.5</c:v>
                </c:pt>
                <c:pt idx="646">
                  <c:v>319</c:v>
                </c:pt>
                <c:pt idx="647">
                  <c:v>312.5</c:v>
                </c:pt>
                <c:pt idx="648">
                  <c:v>298.5</c:v>
                </c:pt>
                <c:pt idx="649">
                  <c:v>289.5</c:v>
                </c:pt>
                <c:pt idx="650">
                  <c:v>280.5</c:v>
                </c:pt>
                <c:pt idx="651">
                  <c:v>270.5</c:v>
                </c:pt>
                <c:pt idx="652">
                  <c:v>275</c:v>
                </c:pt>
                <c:pt idx="653">
                  <c:v>274</c:v>
                </c:pt>
                <c:pt idx="654">
                  <c:v>277.5</c:v>
                </c:pt>
                <c:pt idx="655">
                  <c:v>280</c:v>
                </c:pt>
                <c:pt idx="656">
                  <c:v>282.5</c:v>
                </c:pt>
                <c:pt idx="657">
                  <c:v>285.5</c:v>
                </c:pt>
                <c:pt idx="658">
                  <c:v>286</c:v>
                </c:pt>
                <c:pt idx="659">
                  <c:v>293</c:v>
                </c:pt>
                <c:pt idx="660">
                  <c:v>300.5</c:v>
                </c:pt>
                <c:pt idx="661">
                  <c:v>302.5</c:v>
                </c:pt>
                <c:pt idx="662">
                  <c:v>300</c:v>
                </c:pt>
                <c:pt idx="663">
                  <c:v>307.5</c:v>
                </c:pt>
                <c:pt idx="664">
                  <c:v>313</c:v>
                </c:pt>
                <c:pt idx="665">
                  <c:v>323</c:v>
                </c:pt>
                <c:pt idx="666">
                  <c:v>332.5</c:v>
                </c:pt>
                <c:pt idx="667">
                  <c:v>332.5</c:v>
                </c:pt>
                <c:pt idx="668">
                  <c:v>323.5</c:v>
                </c:pt>
                <c:pt idx="669">
                  <c:v>325</c:v>
                </c:pt>
                <c:pt idx="670">
                  <c:v>335</c:v>
                </c:pt>
                <c:pt idx="671">
                  <c:v>360</c:v>
                </c:pt>
                <c:pt idx="672">
                  <c:v>354</c:v>
                </c:pt>
                <c:pt idx="673">
                  <c:v>351.5</c:v>
                </c:pt>
                <c:pt idx="674">
                  <c:v>337.5</c:v>
                </c:pt>
                <c:pt idx="675">
                  <c:v>333</c:v>
                </c:pt>
                <c:pt idx="676">
                  <c:v>325</c:v>
                </c:pt>
                <c:pt idx="677">
                  <c:v>322.5</c:v>
                </c:pt>
                <c:pt idx="678">
                  <c:v>314.5</c:v>
                </c:pt>
                <c:pt idx="679">
                  <c:v>307.5</c:v>
                </c:pt>
                <c:pt idx="680">
                  <c:v>300</c:v>
                </c:pt>
                <c:pt idx="681">
                  <c:v>290</c:v>
                </c:pt>
                <c:pt idx="682">
                  <c:v>286.5</c:v>
                </c:pt>
                <c:pt idx="683">
                  <c:v>290.5</c:v>
                </c:pt>
                <c:pt idx="684">
                  <c:v>292.5</c:v>
                </c:pt>
                <c:pt idx="685">
                  <c:v>296.5</c:v>
                </c:pt>
                <c:pt idx="686">
                  <c:v>296.5</c:v>
                </c:pt>
                <c:pt idx="687">
                  <c:v>296.5</c:v>
                </c:pt>
                <c:pt idx="688">
                  <c:v>287.5</c:v>
                </c:pt>
                <c:pt idx="689">
                  <c:v>295</c:v>
                </c:pt>
                <c:pt idx="690">
                  <c:v>295</c:v>
                </c:pt>
                <c:pt idx="691">
                  <c:v>300</c:v>
                </c:pt>
                <c:pt idx="692">
                  <c:v>300</c:v>
                </c:pt>
                <c:pt idx="693">
                  <c:v>300</c:v>
                </c:pt>
                <c:pt idx="694">
                  <c:v>302.5</c:v>
                </c:pt>
                <c:pt idx="695">
                  <c:v>301.5</c:v>
                </c:pt>
                <c:pt idx="696">
                  <c:v>292.5</c:v>
                </c:pt>
                <c:pt idx="697">
                  <c:v>295</c:v>
                </c:pt>
                <c:pt idx="698">
                  <c:v>305</c:v>
                </c:pt>
                <c:pt idx="699">
                  <c:v>307.5</c:v>
                </c:pt>
                <c:pt idx="700">
                  <c:v>310.5</c:v>
                </c:pt>
                <c:pt idx="701">
                  <c:v>323.5</c:v>
                </c:pt>
                <c:pt idx="702">
                  <c:v>329.5</c:v>
                </c:pt>
                <c:pt idx="703">
                  <c:v>332.5</c:v>
                </c:pt>
                <c:pt idx="704">
                  <c:v>330</c:v>
                </c:pt>
                <c:pt idx="705">
                  <c:v>327.5</c:v>
                </c:pt>
                <c:pt idx="706">
                  <c:v>320</c:v>
                </c:pt>
                <c:pt idx="707">
                  <c:v>320</c:v>
                </c:pt>
                <c:pt idx="708">
                  <c:v>320</c:v>
                </c:pt>
                <c:pt idx="709">
                  <c:v>320</c:v>
                </c:pt>
                <c:pt idx="710">
                  <c:v>317.5</c:v>
                </c:pt>
                <c:pt idx="711">
                  <c:v>317.5</c:v>
                </c:pt>
                <c:pt idx="712">
                  <c:v>312</c:v>
                </c:pt>
                <c:pt idx="713">
                  <c:v>312</c:v>
                </c:pt>
                <c:pt idx="714">
                  <c:v>306.5</c:v>
                </c:pt>
                <c:pt idx="715">
                  <c:v>302.5</c:v>
                </c:pt>
                <c:pt idx="716">
                  <c:v>300</c:v>
                </c:pt>
                <c:pt idx="717">
                  <c:v>305</c:v>
                </c:pt>
                <c:pt idx="718">
                  <c:v>315</c:v>
                </c:pt>
                <c:pt idx="719">
                  <c:v>315</c:v>
                </c:pt>
                <c:pt idx="720">
                  <c:v>317.5</c:v>
                </c:pt>
                <c:pt idx="721">
                  <c:v>312.5</c:v>
                </c:pt>
                <c:pt idx="722">
                  <c:v>312.5</c:v>
                </c:pt>
                <c:pt idx="723">
                  <c:v>302.5</c:v>
                </c:pt>
                <c:pt idx="724">
                  <c:v>302.5</c:v>
                </c:pt>
                <c:pt idx="725">
                  <c:v>296</c:v>
                </c:pt>
                <c:pt idx="726">
                  <c:v>291</c:v>
                </c:pt>
                <c:pt idx="727">
                  <c:v>284.5</c:v>
                </c:pt>
                <c:pt idx="728">
                  <c:v>275.5</c:v>
                </c:pt>
                <c:pt idx="729">
                  <c:v>270.5</c:v>
                </c:pt>
                <c:pt idx="730">
                  <c:v>260.5</c:v>
                </c:pt>
                <c:pt idx="731">
                  <c:v>260.5</c:v>
                </c:pt>
                <c:pt idx="732">
                  <c:v>257.5</c:v>
                </c:pt>
                <c:pt idx="733">
                  <c:v>249.5</c:v>
                </c:pt>
                <c:pt idx="734">
                  <c:v>247.5</c:v>
                </c:pt>
                <c:pt idx="735">
                  <c:v>250.5</c:v>
                </c:pt>
                <c:pt idx="736">
                  <c:v>260</c:v>
                </c:pt>
                <c:pt idx="737">
                  <c:v>268</c:v>
                </c:pt>
                <c:pt idx="738">
                  <c:v>275.5</c:v>
                </c:pt>
                <c:pt idx="739">
                  <c:v>280.5</c:v>
                </c:pt>
                <c:pt idx="740">
                  <c:v>282.5</c:v>
                </c:pt>
                <c:pt idx="741">
                  <c:v>290.5</c:v>
                </c:pt>
                <c:pt idx="742">
                  <c:v>288</c:v>
                </c:pt>
                <c:pt idx="743">
                  <c:v>287.5</c:v>
                </c:pt>
                <c:pt idx="744">
                  <c:v>286.5</c:v>
                </c:pt>
                <c:pt idx="745">
                  <c:v>282.5</c:v>
                </c:pt>
                <c:pt idx="746">
                  <c:v>279.5</c:v>
                </c:pt>
                <c:pt idx="747">
                  <c:v>267.5</c:v>
                </c:pt>
                <c:pt idx="748">
                  <c:v>265.5</c:v>
                </c:pt>
                <c:pt idx="749">
                  <c:v>261.5</c:v>
                </c:pt>
                <c:pt idx="750">
                  <c:v>267.5</c:v>
                </c:pt>
                <c:pt idx="751">
                  <c:v>273</c:v>
                </c:pt>
                <c:pt idx="752">
                  <c:v>270.5</c:v>
                </c:pt>
                <c:pt idx="753">
                  <c:v>269</c:v>
                </c:pt>
                <c:pt idx="754">
                  <c:v>263.5</c:v>
                </c:pt>
                <c:pt idx="755">
                  <c:v>260</c:v>
                </c:pt>
                <c:pt idx="756">
                  <c:v>252.5</c:v>
                </c:pt>
                <c:pt idx="757">
                  <c:v>245</c:v>
                </c:pt>
                <c:pt idx="758">
                  <c:v>244</c:v>
                </c:pt>
                <c:pt idx="759">
                  <c:v>245.5</c:v>
                </c:pt>
                <c:pt idx="760">
                  <c:v>248.5</c:v>
                </c:pt>
                <c:pt idx="761">
                  <c:v>251.5</c:v>
                </c:pt>
                <c:pt idx="762">
                  <c:v>257.5</c:v>
                </c:pt>
                <c:pt idx="763">
                  <c:v>260</c:v>
                </c:pt>
                <c:pt idx="764">
                  <c:v>260.5</c:v>
                </c:pt>
                <c:pt idx="765">
                  <c:v>255.5</c:v>
                </c:pt>
                <c:pt idx="766">
                  <c:v>246</c:v>
                </c:pt>
                <c:pt idx="767">
                  <c:v>237.5</c:v>
                </c:pt>
                <c:pt idx="768">
                  <c:v>239</c:v>
                </c:pt>
                <c:pt idx="769">
                  <c:v>234.5</c:v>
                </c:pt>
                <c:pt idx="770">
                  <c:v>231.5</c:v>
                </c:pt>
                <c:pt idx="771">
                  <c:v>231.5</c:v>
                </c:pt>
                <c:pt idx="772">
                  <c:v>226.5</c:v>
                </c:pt>
                <c:pt idx="773">
                  <c:v>219.5</c:v>
                </c:pt>
                <c:pt idx="774">
                  <c:v>206</c:v>
                </c:pt>
                <c:pt idx="775">
                  <c:v>184</c:v>
                </c:pt>
                <c:pt idx="776">
                  <c:v>190.5</c:v>
                </c:pt>
                <c:pt idx="777">
                  <c:v>190.5</c:v>
                </c:pt>
                <c:pt idx="778">
                  <c:v>202.5</c:v>
                </c:pt>
                <c:pt idx="779">
                  <c:v>210.5</c:v>
                </c:pt>
                <c:pt idx="780">
                  <c:v>205.5</c:v>
                </c:pt>
                <c:pt idx="781">
                  <c:v>196</c:v>
                </c:pt>
                <c:pt idx="782">
                  <c:v>186.5</c:v>
                </c:pt>
                <c:pt idx="783">
                  <c:v>186.5</c:v>
                </c:pt>
                <c:pt idx="784">
                  <c:v>193.5</c:v>
                </c:pt>
                <c:pt idx="785">
                  <c:v>197.5</c:v>
                </c:pt>
                <c:pt idx="786">
                  <c:v>200</c:v>
                </c:pt>
                <c:pt idx="787">
                  <c:v>202</c:v>
                </c:pt>
                <c:pt idx="788">
                  <c:v>201.5</c:v>
                </c:pt>
                <c:pt idx="789">
                  <c:v>198.5</c:v>
                </c:pt>
                <c:pt idx="790">
                  <c:v>196.5</c:v>
                </c:pt>
                <c:pt idx="791">
                  <c:v>195.5</c:v>
                </c:pt>
                <c:pt idx="792">
                  <c:v>187.5</c:v>
                </c:pt>
                <c:pt idx="793">
                  <c:v>190.5</c:v>
                </c:pt>
                <c:pt idx="794">
                  <c:v>191</c:v>
                </c:pt>
                <c:pt idx="795">
                  <c:v>190.5</c:v>
                </c:pt>
                <c:pt idx="796">
                  <c:v>186</c:v>
                </c:pt>
                <c:pt idx="797">
                  <c:v>186.5</c:v>
                </c:pt>
                <c:pt idx="798">
                  <c:v>181.5</c:v>
                </c:pt>
                <c:pt idx="799">
                  <c:v>175</c:v>
                </c:pt>
                <c:pt idx="800">
                  <c:v>174</c:v>
                </c:pt>
                <c:pt idx="801">
                  <c:v>175.5</c:v>
                </c:pt>
                <c:pt idx="802">
                  <c:v>176.5</c:v>
                </c:pt>
                <c:pt idx="803">
                  <c:v>180</c:v>
                </c:pt>
                <c:pt idx="804">
                  <c:v>182</c:v>
                </c:pt>
                <c:pt idx="805">
                  <c:v>184</c:v>
                </c:pt>
                <c:pt idx="806">
                  <c:v>187</c:v>
                </c:pt>
                <c:pt idx="807">
                  <c:v>189</c:v>
                </c:pt>
                <c:pt idx="808">
                  <c:v>188.5</c:v>
                </c:pt>
                <c:pt idx="809">
                  <c:v>188.5</c:v>
                </c:pt>
                <c:pt idx="810">
                  <c:v>188.5</c:v>
                </c:pt>
                <c:pt idx="811">
                  <c:v>186.5</c:v>
                </c:pt>
                <c:pt idx="812">
                  <c:v>187</c:v>
                </c:pt>
                <c:pt idx="813">
                  <c:v>190.5</c:v>
                </c:pt>
                <c:pt idx="814">
                  <c:v>190.5</c:v>
                </c:pt>
                <c:pt idx="815">
                  <c:v>195</c:v>
                </c:pt>
                <c:pt idx="816">
                  <c:v>207.5</c:v>
                </c:pt>
                <c:pt idx="817">
                  <c:v>220.5</c:v>
                </c:pt>
                <c:pt idx="818">
                  <c:v>220</c:v>
                </c:pt>
                <c:pt idx="819">
                  <c:v>207.5</c:v>
                </c:pt>
                <c:pt idx="820">
                  <c:v>212.5</c:v>
                </c:pt>
                <c:pt idx="821">
                  <c:v>214</c:v>
                </c:pt>
                <c:pt idx="822">
                  <c:v>220.5</c:v>
                </c:pt>
                <c:pt idx="823">
                  <c:v>221.5</c:v>
                </c:pt>
                <c:pt idx="824">
                  <c:v>230.5</c:v>
                </c:pt>
                <c:pt idx="825">
                  <c:v>246.5</c:v>
                </c:pt>
                <c:pt idx="826">
                  <c:v>247.5</c:v>
                </c:pt>
                <c:pt idx="827">
                  <c:v>250</c:v>
                </c:pt>
                <c:pt idx="828">
                  <c:v>250</c:v>
                </c:pt>
                <c:pt idx="829">
                  <c:v>250</c:v>
                </c:pt>
                <c:pt idx="830">
                  <c:v>245</c:v>
                </c:pt>
                <c:pt idx="831">
                  <c:v>242.5</c:v>
                </c:pt>
                <c:pt idx="832">
                  <c:v>239</c:v>
                </c:pt>
                <c:pt idx="833">
                  <c:v>232</c:v>
                </c:pt>
                <c:pt idx="834">
                  <c:v>230.5</c:v>
                </c:pt>
                <c:pt idx="835">
                  <c:v>204</c:v>
                </c:pt>
                <c:pt idx="836">
                  <c:v>208</c:v>
                </c:pt>
                <c:pt idx="837">
                  <c:v>211</c:v>
                </c:pt>
                <c:pt idx="838">
                  <c:v>208</c:v>
                </c:pt>
                <c:pt idx="839">
                  <c:v>202.5</c:v>
                </c:pt>
                <c:pt idx="840">
                  <c:v>183.5</c:v>
                </c:pt>
                <c:pt idx="841">
                  <c:v>179</c:v>
                </c:pt>
                <c:pt idx="842">
                  <c:v>180.5</c:v>
                </c:pt>
                <c:pt idx="843">
                  <c:v>186.5</c:v>
                </c:pt>
                <c:pt idx="844">
                  <c:v>187</c:v>
                </c:pt>
                <c:pt idx="845">
                  <c:v>188.5</c:v>
                </c:pt>
              </c:numCache>
            </c:numRef>
          </c:xVal>
          <c:yVal>
            <c:numRef>
              <c:f>model!$D$188:$D$1033</c:f>
              <c:numCache>
                <c:formatCode>_-* #\ ##0_-;\-* #\ ##0_-;_-* "-"??_-;_-@_-</c:formatCode>
                <c:ptCount val="846"/>
                <c:pt idx="0">
                  <c:v>51.5</c:v>
                </c:pt>
                <c:pt idx="1">
                  <c:v>51.5</c:v>
                </c:pt>
                <c:pt idx="2">
                  <c:v>51.5</c:v>
                </c:pt>
                <c:pt idx="3">
                  <c:v>51</c:v>
                </c:pt>
                <c:pt idx="4">
                  <c:v>52</c:v>
                </c:pt>
                <c:pt idx="5">
                  <c:v>55</c:v>
                </c:pt>
                <c:pt idx="6">
                  <c:v>54.5</c:v>
                </c:pt>
                <c:pt idx="7">
                  <c:v>52.5</c:v>
                </c:pt>
                <c:pt idx="8">
                  <c:v>58.5</c:v>
                </c:pt>
                <c:pt idx="9">
                  <c:v>63.5</c:v>
                </c:pt>
                <c:pt idx="10">
                  <c:v>70</c:v>
                </c:pt>
                <c:pt idx="11">
                  <c:v>71</c:v>
                </c:pt>
                <c:pt idx="12">
                  <c:v>72</c:v>
                </c:pt>
                <c:pt idx="13">
                  <c:v>74.5</c:v>
                </c:pt>
                <c:pt idx="14">
                  <c:v>80</c:v>
                </c:pt>
                <c:pt idx="15">
                  <c:v>79</c:v>
                </c:pt>
                <c:pt idx="16">
                  <c:v>75.5</c:v>
                </c:pt>
                <c:pt idx="17">
                  <c:v>72.5</c:v>
                </c:pt>
                <c:pt idx="18">
                  <c:v>71.5</c:v>
                </c:pt>
                <c:pt idx="19">
                  <c:v>71.5</c:v>
                </c:pt>
                <c:pt idx="20">
                  <c:v>66.5</c:v>
                </c:pt>
                <c:pt idx="21">
                  <c:v>67.5</c:v>
                </c:pt>
                <c:pt idx="22">
                  <c:v>64.5</c:v>
                </c:pt>
                <c:pt idx="23">
                  <c:v>63.5</c:v>
                </c:pt>
                <c:pt idx="24">
                  <c:v>62.5</c:v>
                </c:pt>
                <c:pt idx="25">
                  <c:v>57.5</c:v>
                </c:pt>
                <c:pt idx="26">
                  <c:v>57.5</c:v>
                </c:pt>
                <c:pt idx="27">
                  <c:v>57.5</c:v>
                </c:pt>
                <c:pt idx="28">
                  <c:v>58</c:v>
                </c:pt>
                <c:pt idx="29">
                  <c:v>60</c:v>
                </c:pt>
                <c:pt idx="30">
                  <c:v>63</c:v>
                </c:pt>
                <c:pt idx="31">
                  <c:v>76.5</c:v>
                </c:pt>
                <c:pt idx="32">
                  <c:v>82.5</c:v>
                </c:pt>
                <c:pt idx="33">
                  <c:v>100</c:v>
                </c:pt>
                <c:pt idx="34">
                  <c:v>107.5</c:v>
                </c:pt>
                <c:pt idx="35">
                  <c:v>100</c:v>
                </c:pt>
                <c:pt idx="36">
                  <c:v>100</c:v>
                </c:pt>
                <c:pt idx="37">
                  <c:v>97.5</c:v>
                </c:pt>
                <c:pt idx="38">
                  <c:v>97.5</c:v>
                </c:pt>
                <c:pt idx="39">
                  <c:v>97.5</c:v>
                </c:pt>
                <c:pt idx="40">
                  <c:v>97.5</c:v>
                </c:pt>
                <c:pt idx="41">
                  <c:v>97.5</c:v>
                </c:pt>
                <c:pt idx="42">
                  <c:v>91.5</c:v>
                </c:pt>
                <c:pt idx="43">
                  <c:v>90.5</c:v>
                </c:pt>
                <c:pt idx="44">
                  <c:v>82.5</c:v>
                </c:pt>
                <c:pt idx="45">
                  <c:v>79</c:v>
                </c:pt>
                <c:pt idx="46">
                  <c:v>76</c:v>
                </c:pt>
                <c:pt idx="47">
                  <c:v>76</c:v>
                </c:pt>
                <c:pt idx="48">
                  <c:v>61</c:v>
                </c:pt>
                <c:pt idx="49">
                  <c:v>60.5</c:v>
                </c:pt>
                <c:pt idx="50">
                  <c:v>60.5</c:v>
                </c:pt>
                <c:pt idx="51">
                  <c:v>50</c:v>
                </c:pt>
                <c:pt idx="52">
                  <c:v>50</c:v>
                </c:pt>
                <c:pt idx="53">
                  <c:v>48</c:v>
                </c:pt>
                <c:pt idx="54">
                  <c:v>48</c:v>
                </c:pt>
                <c:pt idx="55">
                  <c:v>55</c:v>
                </c:pt>
                <c:pt idx="56">
                  <c:v>55.5</c:v>
                </c:pt>
                <c:pt idx="57">
                  <c:v>57</c:v>
                </c:pt>
                <c:pt idx="58">
                  <c:v>57</c:v>
                </c:pt>
                <c:pt idx="59">
                  <c:v>60</c:v>
                </c:pt>
                <c:pt idx="60">
                  <c:v>60</c:v>
                </c:pt>
                <c:pt idx="61">
                  <c:v>58.5</c:v>
                </c:pt>
                <c:pt idx="62">
                  <c:v>58.5</c:v>
                </c:pt>
                <c:pt idx="63">
                  <c:v>58.5</c:v>
                </c:pt>
                <c:pt idx="64">
                  <c:v>56.5</c:v>
                </c:pt>
                <c:pt idx="65">
                  <c:v>57</c:v>
                </c:pt>
                <c:pt idx="66">
                  <c:v>56.5</c:v>
                </c:pt>
                <c:pt idx="67">
                  <c:v>52</c:v>
                </c:pt>
                <c:pt idx="68">
                  <c:v>57</c:v>
                </c:pt>
                <c:pt idx="69">
                  <c:v>59.5</c:v>
                </c:pt>
                <c:pt idx="70">
                  <c:v>62</c:v>
                </c:pt>
                <c:pt idx="71">
                  <c:v>59</c:v>
                </c:pt>
                <c:pt idx="72">
                  <c:v>59</c:v>
                </c:pt>
                <c:pt idx="73">
                  <c:v>58</c:v>
                </c:pt>
                <c:pt idx="74">
                  <c:v>60</c:v>
                </c:pt>
                <c:pt idx="75">
                  <c:v>61.5</c:v>
                </c:pt>
                <c:pt idx="76">
                  <c:v>62</c:v>
                </c:pt>
                <c:pt idx="77">
                  <c:v>62</c:v>
                </c:pt>
                <c:pt idx="78">
                  <c:v>64.5</c:v>
                </c:pt>
                <c:pt idx="79">
                  <c:v>67</c:v>
                </c:pt>
                <c:pt idx="80">
                  <c:v>67</c:v>
                </c:pt>
                <c:pt idx="81">
                  <c:v>67</c:v>
                </c:pt>
                <c:pt idx="82">
                  <c:v>83</c:v>
                </c:pt>
                <c:pt idx="83">
                  <c:v>83</c:v>
                </c:pt>
                <c:pt idx="84">
                  <c:v>83</c:v>
                </c:pt>
                <c:pt idx="85">
                  <c:v>79</c:v>
                </c:pt>
                <c:pt idx="86">
                  <c:v>77.5</c:v>
                </c:pt>
                <c:pt idx="87">
                  <c:v>77.5</c:v>
                </c:pt>
                <c:pt idx="88">
                  <c:v>77.5</c:v>
                </c:pt>
                <c:pt idx="89">
                  <c:v>77.5</c:v>
                </c:pt>
                <c:pt idx="90">
                  <c:v>77.5</c:v>
                </c:pt>
                <c:pt idx="91">
                  <c:v>76</c:v>
                </c:pt>
                <c:pt idx="92">
                  <c:v>75.5</c:v>
                </c:pt>
                <c:pt idx="93">
                  <c:v>70</c:v>
                </c:pt>
                <c:pt idx="94">
                  <c:v>66</c:v>
                </c:pt>
                <c:pt idx="95">
                  <c:v>64</c:v>
                </c:pt>
                <c:pt idx="96">
                  <c:v>65</c:v>
                </c:pt>
                <c:pt idx="97">
                  <c:v>65</c:v>
                </c:pt>
                <c:pt idx="98">
                  <c:v>62</c:v>
                </c:pt>
                <c:pt idx="99">
                  <c:v>61</c:v>
                </c:pt>
                <c:pt idx="100">
                  <c:v>62.5</c:v>
                </c:pt>
                <c:pt idx="101">
                  <c:v>63.5</c:v>
                </c:pt>
                <c:pt idx="102">
                  <c:v>64</c:v>
                </c:pt>
                <c:pt idx="103">
                  <c:v>64</c:v>
                </c:pt>
                <c:pt idx="104">
                  <c:v>64</c:v>
                </c:pt>
                <c:pt idx="105">
                  <c:v>64</c:v>
                </c:pt>
                <c:pt idx="106">
                  <c:v>64</c:v>
                </c:pt>
                <c:pt idx="107">
                  <c:v>62</c:v>
                </c:pt>
                <c:pt idx="108">
                  <c:v>61.5</c:v>
                </c:pt>
                <c:pt idx="109">
                  <c:v>59.5</c:v>
                </c:pt>
                <c:pt idx="110">
                  <c:v>61</c:v>
                </c:pt>
                <c:pt idx="111">
                  <c:v>60.5</c:v>
                </c:pt>
                <c:pt idx="112">
                  <c:v>64</c:v>
                </c:pt>
                <c:pt idx="113">
                  <c:v>64</c:v>
                </c:pt>
                <c:pt idx="114">
                  <c:v>64</c:v>
                </c:pt>
                <c:pt idx="115">
                  <c:v>64</c:v>
                </c:pt>
                <c:pt idx="116">
                  <c:v>64</c:v>
                </c:pt>
                <c:pt idx="117">
                  <c:v>59.5</c:v>
                </c:pt>
                <c:pt idx="118">
                  <c:v>59.5</c:v>
                </c:pt>
                <c:pt idx="119">
                  <c:v>59.5</c:v>
                </c:pt>
                <c:pt idx="120">
                  <c:v>61</c:v>
                </c:pt>
                <c:pt idx="121">
                  <c:v>61</c:v>
                </c:pt>
                <c:pt idx="122">
                  <c:v>60.5</c:v>
                </c:pt>
                <c:pt idx="123">
                  <c:v>58</c:v>
                </c:pt>
                <c:pt idx="124">
                  <c:v>56</c:v>
                </c:pt>
                <c:pt idx="125">
                  <c:v>56</c:v>
                </c:pt>
                <c:pt idx="126">
                  <c:v>56</c:v>
                </c:pt>
                <c:pt idx="127">
                  <c:v>64</c:v>
                </c:pt>
                <c:pt idx="128">
                  <c:v>62</c:v>
                </c:pt>
                <c:pt idx="129">
                  <c:v>62</c:v>
                </c:pt>
                <c:pt idx="130">
                  <c:v>64</c:v>
                </c:pt>
                <c:pt idx="131">
                  <c:v>67.5</c:v>
                </c:pt>
                <c:pt idx="132">
                  <c:v>67.5</c:v>
                </c:pt>
                <c:pt idx="133">
                  <c:v>67.5</c:v>
                </c:pt>
                <c:pt idx="134">
                  <c:v>67.5</c:v>
                </c:pt>
                <c:pt idx="135">
                  <c:v>77.5</c:v>
                </c:pt>
                <c:pt idx="136">
                  <c:v>87.5</c:v>
                </c:pt>
                <c:pt idx="137">
                  <c:v>87.5</c:v>
                </c:pt>
                <c:pt idx="138">
                  <c:v>96.5</c:v>
                </c:pt>
                <c:pt idx="139">
                  <c:v>97.5</c:v>
                </c:pt>
                <c:pt idx="140">
                  <c:v>99</c:v>
                </c:pt>
                <c:pt idx="141">
                  <c:v>99</c:v>
                </c:pt>
                <c:pt idx="142">
                  <c:v>99</c:v>
                </c:pt>
                <c:pt idx="143">
                  <c:v>92.5</c:v>
                </c:pt>
                <c:pt idx="144">
                  <c:v>91</c:v>
                </c:pt>
                <c:pt idx="145">
                  <c:v>91</c:v>
                </c:pt>
                <c:pt idx="146">
                  <c:v>89.5</c:v>
                </c:pt>
                <c:pt idx="147">
                  <c:v>67.5</c:v>
                </c:pt>
                <c:pt idx="148">
                  <c:v>63.5</c:v>
                </c:pt>
                <c:pt idx="149">
                  <c:v>62.5</c:v>
                </c:pt>
                <c:pt idx="150">
                  <c:v>69</c:v>
                </c:pt>
                <c:pt idx="151">
                  <c:v>69</c:v>
                </c:pt>
                <c:pt idx="152">
                  <c:v>67.5</c:v>
                </c:pt>
                <c:pt idx="153">
                  <c:v>70</c:v>
                </c:pt>
                <c:pt idx="154">
                  <c:v>69</c:v>
                </c:pt>
                <c:pt idx="155">
                  <c:v>69</c:v>
                </c:pt>
                <c:pt idx="156">
                  <c:v>73</c:v>
                </c:pt>
                <c:pt idx="157">
                  <c:v>73</c:v>
                </c:pt>
                <c:pt idx="158">
                  <c:v>82.5</c:v>
                </c:pt>
                <c:pt idx="159">
                  <c:v>84</c:v>
                </c:pt>
                <c:pt idx="160">
                  <c:v>81</c:v>
                </c:pt>
                <c:pt idx="161">
                  <c:v>81</c:v>
                </c:pt>
                <c:pt idx="162">
                  <c:v>80.5</c:v>
                </c:pt>
                <c:pt idx="163">
                  <c:v>83</c:v>
                </c:pt>
                <c:pt idx="164">
                  <c:v>84.5</c:v>
                </c:pt>
                <c:pt idx="165">
                  <c:v>91</c:v>
                </c:pt>
                <c:pt idx="166">
                  <c:v>91</c:v>
                </c:pt>
                <c:pt idx="167">
                  <c:v>91</c:v>
                </c:pt>
                <c:pt idx="168">
                  <c:v>92</c:v>
                </c:pt>
                <c:pt idx="169">
                  <c:v>96</c:v>
                </c:pt>
                <c:pt idx="170">
                  <c:v>97.5</c:v>
                </c:pt>
                <c:pt idx="171">
                  <c:v>103.5</c:v>
                </c:pt>
                <c:pt idx="172">
                  <c:v>116</c:v>
                </c:pt>
                <c:pt idx="173">
                  <c:v>117</c:v>
                </c:pt>
                <c:pt idx="174">
                  <c:v>117</c:v>
                </c:pt>
                <c:pt idx="175">
                  <c:v>117</c:v>
                </c:pt>
                <c:pt idx="176">
                  <c:v>115</c:v>
                </c:pt>
                <c:pt idx="177">
                  <c:v>114</c:v>
                </c:pt>
                <c:pt idx="178">
                  <c:v>112.5</c:v>
                </c:pt>
                <c:pt idx="179">
                  <c:v>112.5</c:v>
                </c:pt>
                <c:pt idx="180">
                  <c:v>116</c:v>
                </c:pt>
                <c:pt idx="181">
                  <c:v>119</c:v>
                </c:pt>
                <c:pt idx="182">
                  <c:v>121</c:v>
                </c:pt>
                <c:pt idx="183">
                  <c:v>125.5</c:v>
                </c:pt>
                <c:pt idx="184">
                  <c:v>127.5</c:v>
                </c:pt>
                <c:pt idx="185">
                  <c:v>130</c:v>
                </c:pt>
                <c:pt idx="186">
                  <c:v>132.5</c:v>
                </c:pt>
                <c:pt idx="187">
                  <c:v>130</c:v>
                </c:pt>
                <c:pt idx="188">
                  <c:v>119</c:v>
                </c:pt>
                <c:pt idx="189">
                  <c:v>117.5</c:v>
                </c:pt>
                <c:pt idx="190">
                  <c:v>117.5</c:v>
                </c:pt>
                <c:pt idx="191">
                  <c:v>116.5</c:v>
                </c:pt>
                <c:pt idx="192">
                  <c:v>125</c:v>
                </c:pt>
                <c:pt idx="193">
                  <c:v>125</c:v>
                </c:pt>
                <c:pt idx="194">
                  <c:v>125</c:v>
                </c:pt>
                <c:pt idx="195">
                  <c:v>131</c:v>
                </c:pt>
                <c:pt idx="196">
                  <c:v>131</c:v>
                </c:pt>
                <c:pt idx="197">
                  <c:v>112.5</c:v>
                </c:pt>
                <c:pt idx="198">
                  <c:v>100</c:v>
                </c:pt>
                <c:pt idx="199">
                  <c:v>95</c:v>
                </c:pt>
                <c:pt idx="200">
                  <c:v>92</c:v>
                </c:pt>
                <c:pt idx="201">
                  <c:v>90</c:v>
                </c:pt>
                <c:pt idx="202">
                  <c:v>89</c:v>
                </c:pt>
                <c:pt idx="203">
                  <c:v>97.5</c:v>
                </c:pt>
                <c:pt idx="204">
                  <c:v>116.5</c:v>
                </c:pt>
                <c:pt idx="205">
                  <c:v>118.5</c:v>
                </c:pt>
                <c:pt idx="206">
                  <c:v>120</c:v>
                </c:pt>
                <c:pt idx="207">
                  <c:v>120.5</c:v>
                </c:pt>
                <c:pt idx="208">
                  <c:v>120</c:v>
                </c:pt>
                <c:pt idx="209">
                  <c:v>112.5</c:v>
                </c:pt>
                <c:pt idx="210">
                  <c:v>128.5</c:v>
                </c:pt>
                <c:pt idx="211">
                  <c:v>128.5</c:v>
                </c:pt>
                <c:pt idx="212">
                  <c:v>123</c:v>
                </c:pt>
                <c:pt idx="213">
                  <c:v>122</c:v>
                </c:pt>
                <c:pt idx="214">
                  <c:v>129</c:v>
                </c:pt>
                <c:pt idx="215">
                  <c:v>129</c:v>
                </c:pt>
                <c:pt idx="216">
                  <c:v>126.5</c:v>
                </c:pt>
                <c:pt idx="217">
                  <c:v>126.5</c:v>
                </c:pt>
                <c:pt idx="218">
                  <c:v>126.5</c:v>
                </c:pt>
                <c:pt idx="219">
                  <c:v>131</c:v>
                </c:pt>
                <c:pt idx="220">
                  <c:v>141</c:v>
                </c:pt>
                <c:pt idx="221">
                  <c:v>148.5</c:v>
                </c:pt>
                <c:pt idx="222">
                  <c:v>149.5</c:v>
                </c:pt>
                <c:pt idx="223">
                  <c:v>155.5</c:v>
                </c:pt>
                <c:pt idx="224">
                  <c:v>156</c:v>
                </c:pt>
                <c:pt idx="225">
                  <c:v>153.5</c:v>
                </c:pt>
                <c:pt idx="226">
                  <c:v>151.5</c:v>
                </c:pt>
                <c:pt idx="227">
                  <c:v>148</c:v>
                </c:pt>
                <c:pt idx="228">
                  <c:v>148</c:v>
                </c:pt>
                <c:pt idx="229">
                  <c:v>148</c:v>
                </c:pt>
                <c:pt idx="230">
                  <c:v>148</c:v>
                </c:pt>
                <c:pt idx="231">
                  <c:v>148</c:v>
                </c:pt>
                <c:pt idx="232">
                  <c:v>137.5</c:v>
                </c:pt>
                <c:pt idx="233">
                  <c:v>137.5</c:v>
                </c:pt>
                <c:pt idx="234">
                  <c:v>125.5</c:v>
                </c:pt>
                <c:pt idx="235">
                  <c:v>135.5</c:v>
                </c:pt>
                <c:pt idx="236">
                  <c:v>128</c:v>
                </c:pt>
                <c:pt idx="237">
                  <c:v>128</c:v>
                </c:pt>
                <c:pt idx="238">
                  <c:v>128</c:v>
                </c:pt>
                <c:pt idx="239">
                  <c:v>128</c:v>
                </c:pt>
                <c:pt idx="240">
                  <c:v>142.5</c:v>
                </c:pt>
                <c:pt idx="241">
                  <c:v>151.5</c:v>
                </c:pt>
                <c:pt idx="242">
                  <c:v>155</c:v>
                </c:pt>
                <c:pt idx="243">
                  <c:v>156.5</c:v>
                </c:pt>
                <c:pt idx="244">
                  <c:v>156.5</c:v>
                </c:pt>
                <c:pt idx="245">
                  <c:v>151</c:v>
                </c:pt>
                <c:pt idx="246">
                  <c:v>237.5</c:v>
                </c:pt>
                <c:pt idx="247">
                  <c:v>146.5</c:v>
                </c:pt>
                <c:pt idx="248">
                  <c:v>142.5</c:v>
                </c:pt>
                <c:pt idx="249">
                  <c:v>141</c:v>
                </c:pt>
                <c:pt idx="250">
                  <c:v>147.5</c:v>
                </c:pt>
                <c:pt idx="251">
                  <c:v>150</c:v>
                </c:pt>
                <c:pt idx="252">
                  <c:v>150</c:v>
                </c:pt>
                <c:pt idx="253">
                  <c:v>142.5</c:v>
                </c:pt>
                <c:pt idx="254">
                  <c:v>143</c:v>
                </c:pt>
                <c:pt idx="255">
                  <c:v>142.5</c:v>
                </c:pt>
                <c:pt idx="256">
                  <c:v>107.5</c:v>
                </c:pt>
                <c:pt idx="257">
                  <c:v>102</c:v>
                </c:pt>
                <c:pt idx="258">
                  <c:v>119</c:v>
                </c:pt>
                <c:pt idx="259">
                  <c:v>116.5</c:v>
                </c:pt>
                <c:pt idx="260">
                  <c:v>112.5</c:v>
                </c:pt>
                <c:pt idx="261">
                  <c:v>120</c:v>
                </c:pt>
                <c:pt idx="262">
                  <c:v>122.5</c:v>
                </c:pt>
                <c:pt idx="263">
                  <c:v>122.5</c:v>
                </c:pt>
                <c:pt idx="264">
                  <c:v>114.5</c:v>
                </c:pt>
                <c:pt idx="265">
                  <c:v>120</c:v>
                </c:pt>
                <c:pt idx="266">
                  <c:v>119.5</c:v>
                </c:pt>
                <c:pt idx="267">
                  <c:v>135</c:v>
                </c:pt>
                <c:pt idx="268">
                  <c:v>145.5</c:v>
                </c:pt>
                <c:pt idx="269">
                  <c:v>152.5</c:v>
                </c:pt>
                <c:pt idx="270">
                  <c:v>141</c:v>
                </c:pt>
                <c:pt idx="271">
                  <c:v>141</c:v>
                </c:pt>
                <c:pt idx="272">
                  <c:v>141</c:v>
                </c:pt>
                <c:pt idx="273">
                  <c:v>141</c:v>
                </c:pt>
                <c:pt idx="274">
                  <c:v>132.5</c:v>
                </c:pt>
                <c:pt idx="275">
                  <c:v>127.5</c:v>
                </c:pt>
                <c:pt idx="276">
                  <c:v>134.5</c:v>
                </c:pt>
                <c:pt idx="277">
                  <c:v>134</c:v>
                </c:pt>
                <c:pt idx="278">
                  <c:v>134</c:v>
                </c:pt>
                <c:pt idx="279">
                  <c:v>131.5</c:v>
                </c:pt>
                <c:pt idx="280">
                  <c:v>122.5</c:v>
                </c:pt>
                <c:pt idx="281">
                  <c:v>122.5</c:v>
                </c:pt>
                <c:pt idx="282">
                  <c:v>137</c:v>
                </c:pt>
                <c:pt idx="283">
                  <c:v>136.5</c:v>
                </c:pt>
                <c:pt idx="284">
                  <c:v>132</c:v>
                </c:pt>
                <c:pt idx="285">
                  <c:v>139</c:v>
                </c:pt>
                <c:pt idx="286">
                  <c:v>145</c:v>
                </c:pt>
                <c:pt idx="287">
                  <c:v>146</c:v>
                </c:pt>
                <c:pt idx="288">
                  <c:v>145</c:v>
                </c:pt>
                <c:pt idx="289">
                  <c:v>155.5</c:v>
                </c:pt>
                <c:pt idx="290">
                  <c:v>157.5</c:v>
                </c:pt>
                <c:pt idx="291">
                  <c:v>158.5</c:v>
                </c:pt>
                <c:pt idx="292">
                  <c:v>158.5</c:v>
                </c:pt>
                <c:pt idx="293">
                  <c:v>166.5</c:v>
                </c:pt>
                <c:pt idx="294">
                  <c:v>168.5</c:v>
                </c:pt>
                <c:pt idx="295">
                  <c:v>155</c:v>
                </c:pt>
                <c:pt idx="296">
                  <c:v>142.5</c:v>
                </c:pt>
                <c:pt idx="297">
                  <c:v>137.5</c:v>
                </c:pt>
                <c:pt idx="298">
                  <c:v>135</c:v>
                </c:pt>
                <c:pt idx="299">
                  <c:v>136.5</c:v>
                </c:pt>
                <c:pt idx="300">
                  <c:v>137.5</c:v>
                </c:pt>
                <c:pt idx="301">
                  <c:v>138.5</c:v>
                </c:pt>
                <c:pt idx="302">
                  <c:v>135.5</c:v>
                </c:pt>
                <c:pt idx="303">
                  <c:v>128.5</c:v>
                </c:pt>
                <c:pt idx="304">
                  <c:v>122.5</c:v>
                </c:pt>
                <c:pt idx="305">
                  <c:v>122</c:v>
                </c:pt>
                <c:pt idx="306">
                  <c:v>121</c:v>
                </c:pt>
                <c:pt idx="307">
                  <c:v>121</c:v>
                </c:pt>
                <c:pt idx="308">
                  <c:v>125</c:v>
                </c:pt>
                <c:pt idx="309">
                  <c:v>127</c:v>
                </c:pt>
                <c:pt idx="310">
                  <c:v>134</c:v>
                </c:pt>
                <c:pt idx="311">
                  <c:v>142</c:v>
                </c:pt>
                <c:pt idx="312">
                  <c:v>141</c:v>
                </c:pt>
                <c:pt idx="313">
                  <c:v>142</c:v>
                </c:pt>
                <c:pt idx="314">
                  <c:v>142</c:v>
                </c:pt>
                <c:pt idx="315">
                  <c:v>145.5</c:v>
                </c:pt>
                <c:pt idx="316">
                  <c:v>148.5</c:v>
                </c:pt>
                <c:pt idx="317">
                  <c:v>148.5</c:v>
                </c:pt>
                <c:pt idx="318">
                  <c:v>147</c:v>
                </c:pt>
                <c:pt idx="319">
                  <c:v>144</c:v>
                </c:pt>
                <c:pt idx="320">
                  <c:v>142.5</c:v>
                </c:pt>
                <c:pt idx="321">
                  <c:v>141.5</c:v>
                </c:pt>
                <c:pt idx="322">
                  <c:v>142.5</c:v>
                </c:pt>
                <c:pt idx="323">
                  <c:v>142.5</c:v>
                </c:pt>
                <c:pt idx="324">
                  <c:v>148</c:v>
                </c:pt>
                <c:pt idx="325">
                  <c:v>151</c:v>
                </c:pt>
                <c:pt idx="326">
                  <c:v>148.5</c:v>
                </c:pt>
                <c:pt idx="327">
                  <c:v>154</c:v>
                </c:pt>
                <c:pt idx="328">
                  <c:v>157.5</c:v>
                </c:pt>
                <c:pt idx="329">
                  <c:v>163.5</c:v>
                </c:pt>
                <c:pt idx="330">
                  <c:v>164</c:v>
                </c:pt>
                <c:pt idx="331">
                  <c:v>165</c:v>
                </c:pt>
                <c:pt idx="332">
                  <c:v>163.5</c:v>
                </c:pt>
                <c:pt idx="333">
                  <c:v>171.5</c:v>
                </c:pt>
                <c:pt idx="334">
                  <c:v>170.5</c:v>
                </c:pt>
                <c:pt idx="335">
                  <c:v>169</c:v>
                </c:pt>
                <c:pt idx="336">
                  <c:v>171</c:v>
                </c:pt>
                <c:pt idx="337">
                  <c:v>176</c:v>
                </c:pt>
                <c:pt idx="338">
                  <c:v>177.5</c:v>
                </c:pt>
                <c:pt idx="339">
                  <c:v>179.5</c:v>
                </c:pt>
                <c:pt idx="340">
                  <c:v>185</c:v>
                </c:pt>
                <c:pt idx="341">
                  <c:v>191</c:v>
                </c:pt>
                <c:pt idx="342">
                  <c:v>195</c:v>
                </c:pt>
                <c:pt idx="343">
                  <c:v>210</c:v>
                </c:pt>
                <c:pt idx="344">
                  <c:v>210</c:v>
                </c:pt>
                <c:pt idx="345">
                  <c:v>208.5</c:v>
                </c:pt>
                <c:pt idx="346">
                  <c:v>210</c:v>
                </c:pt>
                <c:pt idx="347">
                  <c:v>205</c:v>
                </c:pt>
                <c:pt idx="348">
                  <c:v>197.5</c:v>
                </c:pt>
                <c:pt idx="349">
                  <c:v>185</c:v>
                </c:pt>
                <c:pt idx="350">
                  <c:v>177.5</c:v>
                </c:pt>
                <c:pt idx="351">
                  <c:v>172.5</c:v>
                </c:pt>
                <c:pt idx="352">
                  <c:v>167.5</c:v>
                </c:pt>
                <c:pt idx="353">
                  <c:v>157.5</c:v>
                </c:pt>
                <c:pt idx="354">
                  <c:v>150</c:v>
                </c:pt>
                <c:pt idx="355">
                  <c:v>157</c:v>
                </c:pt>
                <c:pt idx="356">
                  <c:v>157.5</c:v>
                </c:pt>
                <c:pt idx="357">
                  <c:v>157.5</c:v>
                </c:pt>
                <c:pt idx="358">
                  <c:v>162.5</c:v>
                </c:pt>
                <c:pt idx="359">
                  <c:v>164</c:v>
                </c:pt>
                <c:pt idx="360">
                  <c:v>165</c:v>
                </c:pt>
                <c:pt idx="361">
                  <c:v>165</c:v>
                </c:pt>
                <c:pt idx="362">
                  <c:v>167.5</c:v>
                </c:pt>
                <c:pt idx="363">
                  <c:v>177.5</c:v>
                </c:pt>
                <c:pt idx="364">
                  <c:v>180</c:v>
                </c:pt>
                <c:pt idx="365">
                  <c:v>184.5</c:v>
                </c:pt>
                <c:pt idx="366">
                  <c:v>187.5</c:v>
                </c:pt>
                <c:pt idx="367">
                  <c:v>190</c:v>
                </c:pt>
                <c:pt idx="368">
                  <c:v>197</c:v>
                </c:pt>
                <c:pt idx="369">
                  <c:v>202.5</c:v>
                </c:pt>
                <c:pt idx="370">
                  <c:v>207.5</c:v>
                </c:pt>
                <c:pt idx="371">
                  <c:v>214.5</c:v>
                </c:pt>
                <c:pt idx="372">
                  <c:v>215.5</c:v>
                </c:pt>
                <c:pt idx="373">
                  <c:v>216.5</c:v>
                </c:pt>
                <c:pt idx="374">
                  <c:v>217.5</c:v>
                </c:pt>
                <c:pt idx="375">
                  <c:v>224</c:v>
                </c:pt>
                <c:pt idx="376">
                  <c:v>240.5</c:v>
                </c:pt>
                <c:pt idx="377">
                  <c:v>254</c:v>
                </c:pt>
                <c:pt idx="378">
                  <c:v>272.5</c:v>
                </c:pt>
                <c:pt idx="379">
                  <c:v>298.5</c:v>
                </c:pt>
                <c:pt idx="380">
                  <c:v>297</c:v>
                </c:pt>
                <c:pt idx="381">
                  <c:v>300.5</c:v>
                </c:pt>
                <c:pt idx="382">
                  <c:v>315</c:v>
                </c:pt>
                <c:pt idx="383">
                  <c:v>317.5</c:v>
                </c:pt>
                <c:pt idx="384">
                  <c:v>322.5</c:v>
                </c:pt>
                <c:pt idx="385">
                  <c:v>325</c:v>
                </c:pt>
                <c:pt idx="386">
                  <c:v>324</c:v>
                </c:pt>
                <c:pt idx="387">
                  <c:v>322.5</c:v>
                </c:pt>
                <c:pt idx="388">
                  <c:v>305</c:v>
                </c:pt>
                <c:pt idx="389">
                  <c:v>300</c:v>
                </c:pt>
                <c:pt idx="390">
                  <c:v>302.5</c:v>
                </c:pt>
                <c:pt idx="391">
                  <c:v>300</c:v>
                </c:pt>
                <c:pt idx="392">
                  <c:v>307.5</c:v>
                </c:pt>
                <c:pt idx="393">
                  <c:v>305</c:v>
                </c:pt>
                <c:pt idx="394">
                  <c:v>310</c:v>
                </c:pt>
                <c:pt idx="395">
                  <c:v>320</c:v>
                </c:pt>
                <c:pt idx="396">
                  <c:v>318.5</c:v>
                </c:pt>
                <c:pt idx="397">
                  <c:v>318.5</c:v>
                </c:pt>
                <c:pt idx="398">
                  <c:v>310</c:v>
                </c:pt>
                <c:pt idx="399">
                  <c:v>327.5</c:v>
                </c:pt>
                <c:pt idx="400">
                  <c:v>345</c:v>
                </c:pt>
                <c:pt idx="401">
                  <c:v>290</c:v>
                </c:pt>
                <c:pt idx="402">
                  <c:v>255</c:v>
                </c:pt>
                <c:pt idx="403">
                  <c:v>192.5</c:v>
                </c:pt>
                <c:pt idx="404">
                  <c:v>170</c:v>
                </c:pt>
                <c:pt idx="405">
                  <c:v>165</c:v>
                </c:pt>
                <c:pt idx="406">
                  <c:v>155</c:v>
                </c:pt>
                <c:pt idx="407">
                  <c:v>142.5</c:v>
                </c:pt>
                <c:pt idx="408">
                  <c:v>142.5</c:v>
                </c:pt>
                <c:pt idx="409">
                  <c:v>142.5</c:v>
                </c:pt>
                <c:pt idx="410">
                  <c:v>137.5</c:v>
                </c:pt>
                <c:pt idx="411">
                  <c:v>127.5</c:v>
                </c:pt>
                <c:pt idx="412">
                  <c:v>147.5</c:v>
                </c:pt>
                <c:pt idx="413">
                  <c:v>167.5</c:v>
                </c:pt>
                <c:pt idx="414">
                  <c:v>180</c:v>
                </c:pt>
                <c:pt idx="415">
                  <c:v>190</c:v>
                </c:pt>
                <c:pt idx="416">
                  <c:v>195</c:v>
                </c:pt>
                <c:pt idx="417">
                  <c:v>200</c:v>
                </c:pt>
                <c:pt idx="418">
                  <c:v>204</c:v>
                </c:pt>
                <c:pt idx="419">
                  <c:v>202.5</c:v>
                </c:pt>
                <c:pt idx="420">
                  <c:v>192.5</c:v>
                </c:pt>
                <c:pt idx="421">
                  <c:v>187.5</c:v>
                </c:pt>
                <c:pt idx="422">
                  <c:v>170</c:v>
                </c:pt>
                <c:pt idx="423">
                  <c:v>165</c:v>
                </c:pt>
                <c:pt idx="424">
                  <c:v>150</c:v>
                </c:pt>
                <c:pt idx="425">
                  <c:v>142.5</c:v>
                </c:pt>
                <c:pt idx="426">
                  <c:v>134</c:v>
                </c:pt>
                <c:pt idx="427">
                  <c:v>141.5</c:v>
                </c:pt>
                <c:pt idx="428">
                  <c:v>143.5</c:v>
                </c:pt>
                <c:pt idx="429">
                  <c:v>142.5</c:v>
                </c:pt>
                <c:pt idx="430">
                  <c:v>142.5</c:v>
                </c:pt>
                <c:pt idx="431">
                  <c:v>140.5</c:v>
                </c:pt>
                <c:pt idx="432">
                  <c:v>140</c:v>
                </c:pt>
                <c:pt idx="433">
                  <c:v>140</c:v>
                </c:pt>
                <c:pt idx="434">
                  <c:v>141</c:v>
                </c:pt>
                <c:pt idx="435">
                  <c:v>140.5</c:v>
                </c:pt>
                <c:pt idx="436">
                  <c:v>139</c:v>
                </c:pt>
                <c:pt idx="437">
                  <c:v>140</c:v>
                </c:pt>
                <c:pt idx="438">
                  <c:v>160.5</c:v>
                </c:pt>
                <c:pt idx="439">
                  <c:v>175</c:v>
                </c:pt>
                <c:pt idx="440">
                  <c:v>187</c:v>
                </c:pt>
                <c:pt idx="441">
                  <c:v>187.5</c:v>
                </c:pt>
                <c:pt idx="442">
                  <c:v>185.5</c:v>
                </c:pt>
                <c:pt idx="443">
                  <c:v>172</c:v>
                </c:pt>
                <c:pt idx="444">
                  <c:v>172</c:v>
                </c:pt>
                <c:pt idx="445">
                  <c:v>157.5</c:v>
                </c:pt>
                <c:pt idx="446">
                  <c:v>155.5</c:v>
                </c:pt>
                <c:pt idx="447">
                  <c:v>152</c:v>
                </c:pt>
                <c:pt idx="448">
                  <c:v>152</c:v>
                </c:pt>
                <c:pt idx="449">
                  <c:v>151</c:v>
                </c:pt>
                <c:pt idx="450">
                  <c:v>151</c:v>
                </c:pt>
                <c:pt idx="451">
                  <c:v>157.5</c:v>
                </c:pt>
                <c:pt idx="452">
                  <c:v>157</c:v>
                </c:pt>
                <c:pt idx="453">
                  <c:v>163.5</c:v>
                </c:pt>
                <c:pt idx="454">
                  <c:v>165</c:v>
                </c:pt>
                <c:pt idx="455">
                  <c:v>164.5</c:v>
                </c:pt>
                <c:pt idx="456">
                  <c:v>171.5</c:v>
                </c:pt>
                <c:pt idx="457">
                  <c:v>185</c:v>
                </c:pt>
                <c:pt idx="458">
                  <c:v>187.5</c:v>
                </c:pt>
                <c:pt idx="459">
                  <c:v>187.5</c:v>
                </c:pt>
                <c:pt idx="460">
                  <c:v>190</c:v>
                </c:pt>
                <c:pt idx="461">
                  <c:v>192.5</c:v>
                </c:pt>
                <c:pt idx="462">
                  <c:v>200</c:v>
                </c:pt>
                <c:pt idx="463">
                  <c:v>230</c:v>
                </c:pt>
                <c:pt idx="464">
                  <c:v>235</c:v>
                </c:pt>
                <c:pt idx="465">
                  <c:v>250</c:v>
                </c:pt>
                <c:pt idx="466">
                  <c:v>250</c:v>
                </c:pt>
                <c:pt idx="467">
                  <c:v>254</c:v>
                </c:pt>
                <c:pt idx="468">
                  <c:v>258.5</c:v>
                </c:pt>
                <c:pt idx="469">
                  <c:v>258.5</c:v>
                </c:pt>
                <c:pt idx="470">
                  <c:v>252.5</c:v>
                </c:pt>
                <c:pt idx="471">
                  <c:v>229</c:v>
                </c:pt>
                <c:pt idx="472">
                  <c:v>227.5</c:v>
                </c:pt>
                <c:pt idx="473">
                  <c:v>220</c:v>
                </c:pt>
                <c:pt idx="474">
                  <c:v>210</c:v>
                </c:pt>
                <c:pt idx="475">
                  <c:v>203</c:v>
                </c:pt>
                <c:pt idx="476">
                  <c:v>201.5</c:v>
                </c:pt>
                <c:pt idx="477">
                  <c:v>200</c:v>
                </c:pt>
                <c:pt idx="478">
                  <c:v>180</c:v>
                </c:pt>
                <c:pt idx="479">
                  <c:v>175</c:v>
                </c:pt>
                <c:pt idx="480">
                  <c:v>167.5</c:v>
                </c:pt>
                <c:pt idx="481">
                  <c:v>162.5</c:v>
                </c:pt>
                <c:pt idx="482">
                  <c:v>162.5</c:v>
                </c:pt>
                <c:pt idx="483">
                  <c:v>175.5</c:v>
                </c:pt>
                <c:pt idx="484">
                  <c:v>178.5</c:v>
                </c:pt>
                <c:pt idx="485">
                  <c:v>187.5</c:v>
                </c:pt>
                <c:pt idx="486">
                  <c:v>205</c:v>
                </c:pt>
                <c:pt idx="487">
                  <c:v>205</c:v>
                </c:pt>
                <c:pt idx="488">
                  <c:v>210</c:v>
                </c:pt>
                <c:pt idx="489">
                  <c:v>212.5</c:v>
                </c:pt>
                <c:pt idx="490">
                  <c:v>210</c:v>
                </c:pt>
                <c:pt idx="491">
                  <c:v>207.5</c:v>
                </c:pt>
                <c:pt idx="492">
                  <c:v>212.5</c:v>
                </c:pt>
                <c:pt idx="493">
                  <c:v>215</c:v>
                </c:pt>
                <c:pt idx="494">
                  <c:v>216</c:v>
                </c:pt>
                <c:pt idx="495">
                  <c:v>217.5</c:v>
                </c:pt>
                <c:pt idx="496">
                  <c:v>227.5</c:v>
                </c:pt>
                <c:pt idx="497">
                  <c:v>250</c:v>
                </c:pt>
                <c:pt idx="498">
                  <c:v>252.5</c:v>
                </c:pt>
                <c:pt idx="499">
                  <c:v>252.5</c:v>
                </c:pt>
                <c:pt idx="500">
                  <c:v>252.5</c:v>
                </c:pt>
                <c:pt idx="501">
                  <c:v>257.5</c:v>
                </c:pt>
                <c:pt idx="502">
                  <c:v>250.5</c:v>
                </c:pt>
                <c:pt idx="503">
                  <c:v>251.5</c:v>
                </c:pt>
                <c:pt idx="504">
                  <c:v>257.5</c:v>
                </c:pt>
                <c:pt idx="505">
                  <c:v>271</c:v>
                </c:pt>
                <c:pt idx="506">
                  <c:v>274</c:v>
                </c:pt>
                <c:pt idx="507">
                  <c:v>298.5</c:v>
                </c:pt>
                <c:pt idx="508">
                  <c:v>302.5</c:v>
                </c:pt>
                <c:pt idx="509">
                  <c:v>305</c:v>
                </c:pt>
                <c:pt idx="510">
                  <c:v>305</c:v>
                </c:pt>
                <c:pt idx="511">
                  <c:v>300</c:v>
                </c:pt>
                <c:pt idx="512">
                  <c:v>297.5</c:v>
                </c:pt>
                <c:pt idx="513">
                  <c:v>300</c:v>
                </c:pt>
                <c:pt idx="514">
                  <c:v>297.5</c:v>
                </c:pt>
                <c:pt idx="515">
                  <c:v>297.5</c:v>
                </c:pt>
                <c:pt idx="516">
                  <c:v>303.5</c:v>
                </c:pt>
                <c:pt idx="517">
                  <c:v>302.5</c:v>
                </c:pt>
                <c:pt idx="518">
                  <c:v>298.5</c:v>
                </c:pt>
                <c:pt idx="519">
                  <c:v>290</c:v>
                </c:pt>
                <c:pt idx="520">
                  <c:v>290</c:v>
                </c:pt>
                <c:pt idx="521">
                  <c:v>295</c:v>
                </c:pt>
                <c:pt idx="522">
                  <c:v>290</c:v>
                </c:pt>
                <c:pt idx="523">
                  <c:v>285</c:v>
                </c:pt>
                <c:pt idx="524">
                  <c:v>280</c:v>
                </c:pt>
                <c:pt idx="525">
                  <c:v>280</c:v>
                </c:pt>
                <c:pt idx="526">
                  <c:v>270</c:v>
                </c:pt>
                <c:pt idx="527">
                  <c:v>261.5</c:v>
                </c:pt>
                <c:pt idx="528">
                  <c:v>265</c:v>
                </c:pt>
                <c:pt idx="529">
                  <c:v>277.5</c:v>
                </c:pt>
                <c:pt idx="530">
                  <c:v>285</c:v>
                </c:pt>
                <c:pt idx="531">
                  <c:v>295</c:v>
                </c:pt>
                <c:pt idx="532">
                  <c:v>320.5</c:v>
                </c:pt>
                <c:pt idx="533">
                  <c:v>330.5</c:v>
                </c:pt>
                <c:pt idx="534">
                  <c:v>342.5</c:v>
                </c:pt>
                <c:pt idx="535">
                  <c:v>360</c:v>
                </c:pt>
                <c:pt idx="536">
                  <c:v>365</c:v>
                </c:pt>
                <c:pt idx="537">
                  <c:v>377.5</c:v>
                </c:pt>
                <c:pt idx="538">
                  <c:v>345</c:v>
                </c:pt>
                <c:pt idx="539">
                  <c:v>300</c:v>
                </c:pt>
                <c:pt idx="540">
                  <c:v>315</c:v>
                </c:pt>
                <c:pt idx="541">
                  <c:v>324.5</c:v>
                </c:pt>
                <c:pt idx="542">
                  <c:v>330</c:v>
                </c:pt>
                <c:pt idx="543">
                  <c:v>320</c:v>
                </c:pt>
                <c:pt idx="544">
                  <c:v>292.5</c:v>
                </c:pt>
                <c:pt idx="545">
                  <c:v>305</c:v>
                </c:pt>
                <c:pt idx="546">
                  <c:v>317.5</c:v>
                </c:pt>
                <c:pt idx="547">
                  <c:v>315</c:v>
                </c:pt>
                <c:pt idx="548">
                  <c:v>327.5</c:v>
                </c:pt>
                <c:pt idx="549">
                  <c:v>330</c:v>
                </c:pt>
                <c:pt idx="550">
                  <c:v>335</c:v>
                </c:pt>
                <c:pt idx="551">
                  <c:v>330</c:v>
                </c:pt>
                <c:pt idx="552">
                  <c:v>327.5</c:v>
                </c:pt>
                <c:pt idx="553">
                  <c:v>325</c:v>
                </c:pt>
                <c:pt idx="554">
                  <c:v>323.5</c:v>
                </c:pt>
                <c:pt idx="555">
                  <c:v>320.5</c:v>
                </c:pt>
                <c:pt idx="556">
                  <c:v>316</c:v>
                </c:pt>
                <c:pt idx="557">
                  <c:v>315</c:v>
                </c:pt>
                <c:pt idx="558">
                  <c:v>315</c:v>
                </c:pt>
                <c:pt idx="559">
                  <c:v>300</c:v>
                </c:pt>
                <c:pt idx="560">
                  <c:v>275</c:v>
                </c:pt>
                <c:pt idx="561">
                  <c:v>257.5</c:v>
                </c:pt>
                <c:pt idx="562">
                  <c:v>255</c:v>
                </c:pt>
                <c:pt idx="563">
                  <c:v>255</c:v>
                </c:pt>
                <c:pt idx="564">
                  <c:v>275</c:v>
                </c:pt>
                <c:pt idx="565">
                  <c:v>295</c:v>
                </c:pt>
                <c:pt idx="566">
                  <c:v>302.5</c:v>
                </c:pt>
                <c:pt idx="567">
                  <c:v>295</c:v>
                </c:pt>
                <c:pt idx="568">
                  <c:v>302.5</c:v>
                </c:pt>
                <c:pt idx="569">
                  <c:v>305</c:v>
                </c:pt>
                <c:pt idx="570">
                  <c:v>295</c:v>
                </c:pt>
                <c:pt idx="571">
                  <c:v>295</c:v>
                </c:pt>
                <c:pt idx="572">
                  <c:v>295</c:v>
                </c:pt>
                <c:pt idx="573">
                  <c:v>295</c:v>
                </c:pt>
                <c:pt idx="574">
                  <c:v>302.5</c:v>
                </c:pt>
                <c:pt idx="575">
                  <c:v>307.5</c:v>
                </c:pt>
                <c:pt idx="576">
                  <c:v>310</c:v>
                </c:pt>
                <c:pt idx="577">
                  <c:v>325</c:v>
                </c:pt>
                <c:pt idx="578">
                  <c:v>329</c:v>
                </c:pt>
                <c:pt idx="579">
                  <c:v>336.5</c:v>
                </c:pt>
                <c:pt idx="580">
                  <c:v>345</c:v>
                </c:pt>
                <c:pt idx="581">
                  <c:v>350</c:v>
                </c:pt>
                <c:pt idx="582">
                  <c:v>357.5</c:v>
                </c:pt>
                <c:pt idx="583">
                  <c:v>345</c:v>
                </c:pt>
                <c:pt idx="584">
                  <c:v>335</c:v>
                </c:pt>
                <c:pt idx="585">
                  <c:v>330</c:v>
                </c:pt>
                <c:pt idx="586">
                  <c:v>315</c:v>
                </c:pt>
                <c:pt idx="587">
                  <c:v>292.5</c:v>
                </c:pt>
                <c:pt idx="588">
                  <c:v>267.5</c:v>
                </c:pt>
                <c:pt idx="589">
                  <c:v>252</c:v>
                </c:pt>
                <c:pt idx="590">
                  <c:v>250</c:v>
                </c:pt>
                <c:pt idx="591">
                  <c:v>275</c:v>
                </c:pt>
                <c:pt idx="592">
                  <c:v>272.5</c:v>
                </c:pt>
                <c:pt idx="593">
                  <c:v>262.5</c:v>
                </c:pt>
                <c:pt idx="594">
                  <c:v>262.5</c:v>
                </c:pt>
                <c:pt idx="595">
                  <c:v>265.5</c:v>
                </c:pt>
                <c:pt idx="596">
                  <c:v>262.5</c:v>
                </c:pt>
                <c:pt idx="597">
                  <c:v>260.5</c:v>
                </c:pt>
                <c:pt idx="598">
                  <c:v>264</c:v>
                </c:pt>
                <c:pt idx="599">
                  <c:v>264</c:v>
                </c:pt>
                <c:pt idx="600">
                  <c:v>265</c:v>
                </c:pt>
                <c:pt idx="601">
                  <c:v>280</c:v>
                </c:pt>
                <c:pt idx="602">
                  <c:v>310</c:v>
                </c:pt>
                <c:pt idx="603">
                  <c:v>310</c:v>
                </c:pt>
                <c:pt idx="604">
                  <c:v>310</c:v>
                </c:pt>
                <c:pt idx="605">
                  <c:v>305</c:v>
                </c:pt>
                <c:pt idx="606">
                  <c:v>315</c:v>
                </c:pt>
                <c:pt idx="607">
                  <c:v>305</c:v>
                </c:pt>
                <c:pt idx="608">
                  <c:v>290</c:v>
                </c:pt>
                <c:pt idx="609">
                  <c:v>285</c:v>
                </c:pt>
                <c:pt idx="610">
                  <c:v>285</c:v>
                </c:pt>
                <c:pt idx="611">
                  <c:v>297</c:v>
                </c:pt>
                <c:pt idx="612">
                  <c:v>300</c:v>
                </c:pt>
                <c:pt idx="613">
                  <c:v>307.5</c:v>
                </c:pt>
                <c:pt idx="614">
                  <c:v>307.5</c:v>
                </c:pt>
                <c:pt idx="615">
                  <c:v>307.5</c:v>
                </c:pt>
                <c:pt idx="616">
                  <c:v>307</c:v>
                </c:pt>
                <c:pt idx="617">
                  <c:v>310</c:v>
                </c:pt>
                <c:pt idx="618">
                  <c:v>311</c:v>
                </c:pt>
                <c:pt idx="619">
                  <c:v>314</c:v>
                </c:pt>
                <c:pt idx="620">
                  <c:v>320.5</c:v>
                </c:pt>
                <c:pt idx="621">
                  <c:v>342.5</c:v>
                </c:pt>
                <c:pt idx="622">
                  <c:v>357.5</c:v>
                </c:pt>
                <c:pt idx="623">
                  <c:v>357.5</c:v>
                </c:pt>
                <c:pt idx="624">
                  <c:v>355</c:v>
                </c:pt>
                <c:pt idx="625">
                  <c:v>350</c:v>
                </c:pt>
                <c:pt idx="626">
                  <c:v>345</c:v>
                </c:pt>
                <c:pt idx="627">
                  <c:v>342.5</c:v>
                </c:pt>
                <c:pt idx="628">
                  <c:v>342.5</c:v>
                </c:pt>
                <c:pt idx="629">
                  <c:v>342.5</c:v>
                </c:pt>
                <c:pt idx="630">
                  <c:v>310</c:v>
                </c:pt>
                <c:pt idx="631">
                  <c:v>297.5</c:v>
                </c:pt>
                <c:pt idx="632">
                  <c:v>292.5</c:v>
                </c:pt>
                <c:pt idx="633">
                  <c:v>267.5</c:v>
                </c:pt>
                <c:pt idx="634">
                  <c:v>262.5</c:v>
                </c:pt>
                <c:pt idx="635">
                  <c:v>257.5</c:v>
                </c:pt>
                <c:pt idx="636">
                  <c:v>252.5</c:v>
                </c:pt>
                <c:pt idx="637">
                  <c:v>252.5</c:v>
                </c:pt>
                <c:pt idx="638">
                  <c:v>250.5</c:v>
                </c:pt>
                <c:pt idx="639">
                  <c:v>242.5</c:v>
                </c:pt>
                <c:pt idx="640">
                  <c:v>252.5</c:v>
                </c:pt>
                <c:pt idx="641">
                  <c:v>256.5</c:v>
                </c:pt>
                <c:pt idx="642">
                  <c:v>256.5</c:v>
                </c:pt>
                <c:pt idx="643">
                  <c:v>265</c:v>
                </c:pt>
                <c:pt idx="644">
                  <c:v>267.5</c:v>
                </c:pt>
                <c:pt idx="645">
                  <c:v>267.5</c:v>
                </c:pt>
                <c:pt idx="646">
                  <c:v>272.5</c:v>
                </c:pt>
                <c:pt idx="647">
                  <c:v>267.5</c:v>
                </c:pt>
                <c:pt idx="648">
                  <c:v>262.5</c:v>
                </c:pt>
                <c:pt idx="649">
                  <c:v>252.5</c:v>
                </c:pt>
                <c:pt idx="650">
                  <c:v>257.5</c:v>
                </c:pt>
                <c:pt idx="651">
                  <c:v>255</c:v>
                </c:pt>
                <c:pt idx="652">
                  <c:v>255</c:v>
                </c:pt>
                <c:pt idx="653">
                  <c:v>262.5</c:v>
                </c:pt>
                <c:pt idx="654">
                  <c:v>261.5</c:v>
                </c:pt>
                <c:pt idx="655">
                  <c:v>270.5</c:v>
                </c:pt>
                <c:pt idx="656">
                  <c:v>271.5</c:v>
                </c:pt>
                <c:pt idx="657">
                  <c:v>272.5</c:v>
                </c:pt>
                <c:pt idx="658">
                  <c:v>269.5</c:v>
                </c:pt>
                <c:pt idx="659">
                  <c:v>272</c:v>
                </c:pt>
                <c:pt idx="660">
                  <c:v>273</c:v>
                </c:pt>
                <c:pt idx="661">
                  <c:v>276.5</c:v>
                </c:pt>
                <c:pt idx="662">
                  <c:v>277.5</c:v>
                </c:pt>
                <c:pt idx="663">
                  <c:v>277.5</c:v>
                </c:pt>
                <c:pt idx="664">
                  <c:v>280.5</c:v>
                </c:pt>
                <c:pt idx="665">
                  <c:v>281.5</c:v>
                </c:pt>
                <c:pt idx="666">
                  <c:v>282.5</c:v>
                </c:pt>
                <c:pt idx="667">
                  <c:v>282.5</c:v>
                </c:pt>
                <c:pt idx="668">
                  <c:v>282.5</c:v>
                </c:pt>
                <c:pt idx="669">
                  <c:v>295</c:v>
                </c:pt>
                <c:pt idx="670">
                  <c:v>307.5</c:v>
                </c:pt>
                <c:pt idx="671">
                  <c:v>310</c:v>
                </c:pt>
                <c:pt idx="672">
                  <c:v>317.5</c:v>
                </c:pt>
                <c:pt idx="673">
                  <c:v>317.5</c:v>
                </c:pt>
                <c:pt idx="674">
                  <c:v>317.5</c:v>
                </c:pt>
                <c:pt idx="675">
                  <c:v>317.5</c:v>
                </c:pt>
                <c:pt idx="676">
                  <c:v>317.5</c:v>
                </c:pt>
                <c:pt idx="677">
                  <c:v>317.5</c:v>
                </c:pt>
                <c:pt idx="678">
                  <c:v>302.5</c:v>
                </c:pt>
                <c:pt idx="679">
                  <c:v>279</c:v>
                </c:pt>
                <c:pt idx="680">
                  <c:v>277.5</c:v>
                </c:pt>
                <c:pt idx="681">
                  <c:v>270</c:v>
                </c:pt>
                <c:pt idx="682">
                  <c:v>267.5</c:v>
                </c:pt>
                <c:pt idx="683">
                  <c:v>262.5</c:v>
                </c:pt>
                <c:pt idx="684">
                  <c:v>262.5</c:v>
                </c:pt>
                <c:pt idx="685">
                  <c:v>253.5</c:v>
                </c:pt>
                <c:pt idx="686">
                  <c:v>252.5</c:v>
                </c:pt>
                <c:pt idx="687">
                  <c:v>252.5</c:v>
                </c:pt>
                <c:pt idx="688">
                  <c:v>252.5</c:v>
                </c:pt>
                <c:pt idx="689">
                  <c:v>250</c:v>
                </c:pt>
                <c:pt idx="690">
                  <c:v>252.5</c:v>
                </c:pt>
                <c:pt idx="691">
                  <c:v>252.5</c:v>
                </c:pt>
                <c:pt idx="692">
                  <c:v>260</c:v>
                </c:pt>
                <c:pt idx="693">
                  <c:v>261.5</c:v>
                </c:pt>
                <c:pt idx="694">
                  <c:v>261.5</c:v>
                </c:pt>
                <c:pt idx="695">
                  <c:v>261.5</c:v>
                </c:pt>
                <c:pt idx="696">
                  <c:v>261.5</c:v>
                </c:pt>
                <c:pt idx="697">
                  <c:v>261.5</c:v>
                </c:pt>
                <c:pt idx="698">
                  <c:v>270</c:v>
                </c:pt>
                <c:pt idx="699">
                  <c:v>270</c:v>
                </c:pt>
                <c:pt idx="700">
                  <c:v>270</c:v>
                </c:pt>
                <c:pt idx="701">
                  <c:v>274.5</c:v>
                </c:pt>
                <c:pt idx="702">
                  <c:v>283</c:v>
                </c:pt>
                <c:pt idx="703">
                  <c:v>284</c:v>
                </c:pt>
                <c:pt idx="704">
                  <c:v>284</c:v>
                </c:pt>
                <c:pt idx="705">
                  <c:v>285</c:v>
                </c:pt>
                <c:pt idx="706">
                  <c:v>280</c:v>
                </c:pt>
                <c:pt idx="707">
                  <c:v>280</c:v>
                </c:pt>
                <c:pt idx="708">
                  <c:v>280</c:v>
                </c:pt>
                <c:pt idx="709">
                  <c:v>277.5</c:v>
                </c:pt>
                <c:pt idx="710">
                  <c:v>278.5</c:v>
                </c:pt>
                <c:pt idx="711">
                  <c:v>277</c:v>
                </c:pt>
                <c:pt idx="712">
                  <c:v>277</c:v>
                </c:pt>
                <c:pt idx="713">
                  <c:v>278</c:v>
                </c:pt>
                <c:pt idx="714">
                  <c:v>277.5</c:v>
                </c:pt>
                <c:pt idx="715">
                  <c:v>277.5</c:v>
                </c:pt>
                <c:pt idx="716">
                  <c:v>281.5</c:v>
                </c:pt>
                <c:pt idx="717">
                  <c:v>284.5</c:v>
                </c:pt>
                <c:pt idx="718">
                  <c:v>284.5</c:v>
                </c:pt>
                <c:pt idx="719">
                  <c:v>284.5</c:v>
                </c:pt>
                <c:pt idx="720">
                  <c:v>282.5</c:v>
                </c:pt>
                <c:pt idx="721">
                  <c:v>284.5</c:v>
                </c:pt>
                <c:pt idx="722">
                  <c:v>285.5</c:v>
                </c:pt>
                <c:pt idx="723">
                  <c:v>282.5</c:v>
                </c:pt>
                <c:pt idx="724">
                  <c:v>282.5</c:v>
                </c:pt>
                <c:pt idx="725">
                  <c:v>282</c:v>
                </c:pt>
                <c:pt idx="726">
                  <c:v>280</c:v>
                </c:pt>
                <c:pt idx="727">
                  <c:v>272.5</c:v>
                </c:pt>
                <c:pt idx="728">
                  <c:v>272.5</c:v>
                </c:pt>
                <c:pt idx="729">
                  <c:v>260</c:v>
                </c:pt>
                <c:pt idx="730">
                  <c:v>252.5</c:v>
                </c:pt>
                <c:pt idx="731">
                  <c:v>250.5</c:v>
                </c:pt>
                <c:pt idx="732">
                  <c:v>250.5</c:v>
                </c:pt>
                <c:pt idx="733">
                  <c:v>233</c:v>
                </c:pt>
                <c:pt idx="734">
                  <c:v>220</c:v>
                </c:pt>
                <c:pt idx="735">
                  <c:v>215.5</c:v>
                </c:pt>
                <c:pt idx="736">
                  <c:v>202.5</c:v>
                </c:pt>
                <c:pt idx="737">
                  <c:v>202.5</c:v>
                </c:pt>
                <c:pt idx="738">
                  <c:v>205</c:v>
                </c:pt>
                <c:pt idx="739">
                  <c:v>207.5</c:v>
                </c:pt>
                <c:pt idx="740">
                  <c:v>206.5</c:v>
                </c:pt>
                <c:pt idx="741">
                  <c:v>205.5</c:v>
                </c:pt>
                <c:pt idx="742">
                  <c:v>205.5</c:v>
                </c:pt>
                <c:pt idx="743">
                  <c:v>209</c:v>
                </c:pt>
                <c:pt idx="744">
                  <c:v>202.5</c:v>
                </c:pt>
                <c:pt idx="745">
                  <c:v>202.5</c:v>
                </c:pt>
                <c:pt idx="746">
                  <c:v>197.5</c:v>
                </c:pt>
                <c:pt idx="747">
                  <c:v>192.5</c:v>
                </c:pt>
                <c:pt idx="748">
                  <c:v>189.5</c:v>
                </c:pt>
                <c:pt idx="749">
                  <c:v>185.5</c:v>
                </c:pt>
                <c:pt idx="750">
                  <c:v>188</c:v>
                </c:pt>
                <c:pt idx="751">
                  <c:v>190</c:v>
                </c:pt>
                <c:pt idx="752">
                  <c:v>197.5</c:v>
                </c:pt>
                <c:pt idx="753">
                  <c:v>202</c:v>
                </c:pt>
                <c:pt idx="754">
                  <c:v>195.5</c:v>
                </c:pt>
                <c:pt idx="755">
                  <c:v>194.5</c:v>
                </c:pt>
                <c:pt idx="756">
                  <c:v>192.5</c:v>
                </c:pt>
                <c:pt idx="757">
                  <c:v>190.5</c:v>
                </c:pt>
                <c:pt idx="758">
                  <c:v>187.5</c:v>
                </c:pt>
                <c:pt idx="759">
                  <c:v>183.5</c:v>
                </c:pt>
                <c:pt idx="760">
                  <c:v>190</c:v>
                </c:pt>
                <c:pt idx="761">
                  <c:v>194.5</c:v>
                </c:pt>
                <c:pt idx="762">
                  <c:v>203.5</c:v>
                </c:pt>
                <c:pt idx="763">
                  <c:v>210</c:v>
                </c:pt>
                <c:pt idx="764">
                  <c:v>205</c:v>
                </c:pt>
                <c:pt idx="765">
                  <c:v>200</c:v>
                </c:pt>
                <c:pt idx="766">
                  <c:v>200</c:v>
                </c:pt>
                <c:pt idx="767">
                  <c:v>197.5</c:v>
                </c:pt>
                <c:pt idx="768">
                  <c:v>198</c:v>
                </c:pt>
                <c:pt idx="769">
                  <c:v>201.5</c:v>
                </c:pt>
                <c:pt idx="770">
                  <c:v>200.5</c:v>
                </c:pt>
                <c:pt idx="771">
                  <c:v>200.5</c:v>
                </c:pt>
                <c:pt idx="772">
                  <c:v>197.5</c:v>
                </c:pt>
                <c:pt idx="773">
                  <c:v>195</c:v>
                </c:pt>
                <c:pt idx="774">
                  <c:v>190</c:v>
                </c:pt>
                <c:pt idx="775">
                  <c:v>185</c:v>
                </c:pt>
                <c:pt idx="776">
                  <c:v>182.5</c:v>
                </c:pt>
                <c:pt idx="777">
                  <c:v>177.5</c:v>
                </c:pt>
                <c:pt idx="778">
                  <c:v>180</c:v>
                </c:pt>
                <c:pt idx="779">
                  <c:v>180</c:v>
                </c:pt>
                <c:pt idx="780">
                  <c:v>180</c:v>
                </c:pt>
                <c:pt idx="781">
                  <c:v>177.5</c:v>
                </c:pt>
                <c:pt idx="782">
                  <c:v>172.5</c:v>
                </c:pt>
                <c:pt idx="783">
                  <c:v>172.5</c:v>
                </c:pt>
                <c:pt idx="784">
                  <c:v>172.5</c:v>
                </c:pt>
                <c:pt idx="785">
                  <c:v>172.5</c:v>
                </c:pt>
                <c:pt idx="786">
                  <c:v>172.5</c:v>
                </c:pt>
                <c:pt idx="787">
                  <c:v>166</c:v>
                </c:pt>
                <c:pt idx="788">
                  <c:v>162.5</c:v>
                </c:pt>
                <c:pt idx="789">
                  <c:v>152.5</c:v>
                </c:pt>
                <c:pt idx="790">
                  <c:v>150.5</c:v>
                </c:pt>
                <c:pt idx="791">
                  <c:v>147.5</c:v>
                </c:pt>
                <c:pt idx="792">
                  <c:v>147.5</c:v>
                </c:pt>
                <c:pt idx="793">
                  <c:v>147.5</c:v>
                </c:pt>
                <c:pt idx="794">
                  <c:v>140.5</c:v>
                </c:pt>
                <c:pt idx="795">
                  <c:v>139.5</c:v>
                </c:pt>
                <c:pt idx="796">
                  <c:v>138.5</c:v>
                </c:pt>
                <c:pt idx="797">
                  <c:v>134.5</c:v>
                </c:pt>
                <c:pt idx="798">
                  <c:v>134.5</c:v>
                </c:pt>
                <c:pt idx="799">
                  <c:v>134.5</c:v>
                </c:pt>
                <c:pt idx="800">
                  <c:v>134.5</c:v>
                </c:pt>
                <c:pt idx="801">
                  <c:v>134.5</c:v>
                </c:pt>
                <c:pt idx="802">
                  <c:v>133.5</c:v>
                </c:pt>
                <c:pt idx="803">
                  <c:v>137.5</c:v>
                </c:pt>
                <c:pt idx="804">
                  <c:v>137.5</c:v>
                </c:pt>
                <c:pt idx="805">
                  <c:v>142.5</c:v>
                </c:pt>
                <c:pt idx="806">
                  <c:v>145.5</c:v>
                </c:pt>
                <c:pt idx="807">
                  <c:v>145.5</c:v>
                </c:pt>
                <c:pt idx="808">
                  <c:v>152</c:v>
                </c:pt>
                <c:pt idx="809">
                  <c:v>152.5</c:v>
                </c:pt>
                <c:pt idx="810">
                  <c:v>155</c:v>
                </c:pt>
                <c:pt idx="811">
                  <c:v>155</c:v>
                </c:pt>
                <c:pt idx="812">
                  <c:v>159.5</c:v>
                </c:pt>
                <c:pt idx="813">
                  <c:v>170.5</c:v>
                </c:pt>
                <c:pt idx="814">
                  <c:v>175.5</c:v>
                </c:pt>
                <c:pt idx="815">
                  <c:v>175.5</c:v>
                </c:pt>
                <c:pt idx="816">
                  <c:v>187.5</c:v>
                </c:pt>
                <c:pt idx="817">
                  <c:v>187.5</c:v>
                </c:pt>
                <c:pt idx="818">
                  <c:v>187.5</c:v>
                </c:pt>
                <c:pt idx="819">
                  <c:v>177.5</c:v>
                </c:pt>
                <c:pt idx="820">
                  <c:v>180.5</c:v>
                </c:pt>
                <c:pt idx="821">
                  <c:v>180.5</c:v>
                </c:pt>
                <c:pt idx="822">
                  <c:v>182.5</c:v>
                </c:pt>
                <c:pt idx="823">
                  <c:v>182.5</c:v>
                </c:pt>
                <c:pt idx="824">
                  <c:v>190</c:v>
                </c:pt>
                <c:pt idx="825">
                  <c:v>192.5</c:v>
                </c:pt>
                <c:pt idx="826">
                  <c:v>200.5</c:v>
                </c:pt>
                <c:pt idx="827">
                  <c:v>202.5</c:v>
                </c:pt>
                <c:pt idx="828">
                  <c:v>202.5</c:v>
                </c:pt>
                <c:pt idx="829">
                  <c:v>202.5</c:v>
                </c:pt>
                <c:pt idx="830">
                  <c:v>197.5</c:v>
                </c:pt>
                <c:pt idx="831">
                  <c:v>195.5</c:v>
                </c:pt>
                <c:pt idx="832">
                  <c:v>194</c:v>
                </c:pt>
                <c:pt idx="833">
                  <c:v>192.5</c:v>
                </c:pt>
                <c:pt idx="834">
                  <c:v>192.5</c:v>
                </c:pt>
                <c:pt idx="835">
                  <c:v>192.5</c:v>
                </c:pt>
                <c:pt idx="836">
                  <c:v>182.5</c:v>
                </c:pt>
                <c:pt idx="837">
                  <c:v>177</c:v>
                </c:pt>
                <c:pt idx="838">
                  <c:v>177</c:v>
                </c:pt>
                <c:pt idx="839">
                  <c:v>177</c:v>
                </c:pt>
                <c:pt idx="840">
                  <c:v>165.5</c:v>
                </c:pt>
                <c:pt idx="841">
                  <c:v>162.5</c:v>
                </c:pt>
                <c:pt idx="842">
                  <c:v>163</c:v>
                </c:pt>
                <c:pt idx="843">
                  <c:v>163</c:v>
                </c:pt>
                <c:pt idx="844">
                  <c:v>157.5</c:v>
                </c:pt>
                <c:pt idx="845">
                  <c:v>155.5</c:v>
                </c:pt>
              </c:numCache>
            </c:numRef>
          </c:yVal>
          <c:smooth val="0"/>
        </c:ser>
        <c:dLbls>
          <c:showLegendKey val="0"/>
          <c:showVal val="0"/>
          <c:showCatName val="0"/>
          <c:showSerName val="0"/>
          <c:showPercent val="0"/>
          <c:showBubbleSize val="0"/>
        </c:dLbls>
        <c:axId val="640998136"/>
        <c:axId val="640998528"/>
      </c:scatterChart>
      <c:valAx>
        <c:axId val="640998136"/>
        <c:scaling>
          <c:orientation val="minMax"/>
          <c:min val="200"/>
        </c:scaling>
        <c:delete val="0"/>
        <c:axPos val="b"/>
        <c:numFmt formatCode="_-* #\ ##0_-;\-* #\ ##0_-;_-* &quot;-&quot;??_-;_-@_-" sourceLinked="1"/>
        <c:majorTickMark val="out"/>
        <c:minorTickMark val="none"/>
        <c:tickLblPos val="nextTo"/>
        <c:crossAx val="640998528"/>
        <c:crosses val="autoZero"/>
        <c:crossBetween val="midCat"/>
      </c:valAx>
      <c:valAx>
        <c:axId val="640998528"/>
        <c:scaling>
          <c:orientation val="minMax"/>
          <c:min val="100"/>
        </c:scaling>
        <c:delete val="0"/>
        <c:axPos val="l"/>
        <c:numFmt formatCode="_-* #\ ##0_-;\-* #\ ##0_-;_-* &quot;-&quot;??_-;_-@_-" sourceLinked="1"/>
        <c:majorTickMark val="out"/>
        <c:minorTickMark val="none"/>
        <c:tickLblPos val="nextTo"/>
        <c:crossAx val="640998136"/>
        <c:crosses val="autoZero"/>
        <c:crossBetween val="midCat"/>
      </c:valAx>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9.5397692425352565E-2"/>
          <c:y val="0.15318338865270284"/>
          <c:w val="0.857429823806098"/>
          <c:h val="0.75561604583705655"/>
        </c:manualLayout>
      </c:layout>
      <c:scatterChart>
        <c:scatterStyle val="lineMarker"/>
        <c:varyColors val="0"/>
        <c:ser>
          <c:idx val="0"/>
          <c:order val="0"/>
          <c:tx>
            <c:strRef>
              <c:f>model!$E$186</c:f>
              <c:strCache>
                <c:ptCount val="1"/>
                <c:pt idx="0">
                  <c:v>UAN FOB Black Sea 32%</c:v>
                </c:pt>
              </c:strCache>
            </c:strRef>
          </c:tx>
          <c:spPr>
            <a:ln w="28575">
              <a:noFill/>
            </a:ln>
          </c:spPr>
          <c:trendline>
            <c:trendlineType val="log"/>
            <c:dispRSqr val="1"/>
            <c:dispEq val="1"/>
            <c:trendlineLbl>
              <c:layout>
                <c:manualLayout>
                  <c:x val="-5.0516335815990829E-3"/>
                  <c:y val="0.3587134527398495"/>
                </c:manualLayout>
              </c:layout>
              <c:numFmt formatCode="General" sourceLinked="0"/>
            </c:trendlineLbl>
          </c:trendline>
          <c:xVal>
            <c:numRef>
              <c:f>model!$C$472:$C$1023</c:f>
              <c:numCache>
                <c:formatCode>_-* #\ ##0_-;\-* #\ ##0_-;_-* "-"??_-;_-@_-</c:formatCode>
                <c:ptCount val="552"/>
                <c:pt idx="0">
                  <c:v>199</c:v>
                </c:pt>
                <c:pt idx="1">
                  <c:v>195.5</c:v>
                </c:pt>
                <c:pt idx="2">
                  <c:v>189</c:v>
                </c:pt>
                <c:pt idx="3">
                  <c:v>196.5</c:v>
                </c:pt>
                <c:pt idx="4">
                  <c:v>205</c:v>
                </c:pt>
                <c:pt idx="5">
                  <c:v>211</c:v>
                </c:pt>
                <c:pt idx="6">
                  <c:v>207.5</c:v>
                </c:pt>
                <c:pt idx="7">
                  <c:v>215</c:v>
                </c:pt>
                <c:pt idx="8">
                  <c:v>227.5</c:v>
                </c:pt>
                <c:pt idx="9">
                  <c:v>232.5</c:v>
                </c:pt>
                <c:pt idx="10">
                  <c:v>245</c:v>
                </c:pt>
                <c:pt idx="11">
                  <c:v>245</c:v>
                </c:pt>
                <c:pt idx="12">
                  <c:v>240</c:v>
                </c:pt>
                <c:pt idx="13">
                  <c:v>245</c:v>
                </c:pt>
                <c:pt idx="14">
                  <c:v>240</c:v>
                </c:pt>
                <c:pt idx="15">
                  <c:v>240</c:v>
                </c:pt>
                <c:pt idx="16">
                  <c:v>239.5</c:v>
                </c:pt>
                <c:pt idx="17">
                  <c:v>235</c:v>
                </c:pt>
                <c:pt idx="18">
                  <c:v>230</c:v>
                </c:pt>
                <c:pt idx="19">
                  <c:v>222.5</c:v>
                </c:pt>
                <c:pt idx="20">
                  <c:v>212</c:v>
                </c:pt>
                <c:pt idx="21">
                  <c:v>212</c:v>
                </c:pt>
                <c:pt idx="22">
                  <c:v>197.5</c:v>
                </c:pt>
                <c:pt idx="23">
                  <c:v>198</c:v>
                </c:pt>
                <c:pt idx="24">
                  <c:v>201</c:v>
                </c:pt>
                <c:pt idx="25">
                  <c:v>201</c:v>
                </c:pt>
                <c:pt idx="26">
                  <c:v>200</c:v>
                </c:pt>
                <c:pt idx="27">
                  <c:v>200</c:v>
                </c:pt>
                <c:pt idx="28">
                  <c:v>195</c:v>
                </c:pt>
                <c:pt idx="29">
                  <c:v>205</c:v>
                </c:pt>
                <c:pt idx="30">
                  <c:v>208</c:v>
                </c:pt>
                <c:pt idx="31">
                  <c:v>211.5</c:v>
                </c:pt>
                <c:pt idx="32">
                  <c:v>214</c:v>
                </c:pt>
                <c:pt idx="33">
                  <c:v>211.5</c:v>
                </c:pt>
                <c:pt idx="34">
                  <c:v>207.5</c:v>
                </c:pt>
                <c:pt idx="35">
                  <c:v>205</c:v>
                </c:pt>
                <c:pt idx="36">
                  <c:v>208.5</c:v>
                </c:pt>
                <c:pt idx="37">
                  <c:v>204</c:v>
                </c:pt>
                <c:pt idx="38">
                  <c:v>196</c:v>
                </c:pt>
                <c:pt idx="39">
                  <c:v>202.5</c:v>
                </c:pt>
                <c:pt idx="40">
                  <c:v>206</c:v>
                </c:pt>
                <c:pt idx="41">
                  <c:v>207</c:v>
                </c:pt>
                <c:pt idx="42">
                  <c:v>209</c:v>
                </c:pt>
                <c:pt idx="43">
                  <c:v>217.5</c:v>
                </c:pt>
                <c:pt idx="44">
                  <c:v>227.5</c:v>
                </c:pt>
                <c:pt idx="45">
                  <c:v>240</c:v>
                </c:pt>
                <c:pt idx="46">
                  <c:v>245</c:v>
                </c:pt>
                <c:pt idx="47">
                  <c:v>247.5</c:v>
                </c:pt>
                <c:pt idx="48">
                  <c:v>246</c:v>
                </c:pt>
                <c:pt idx="49">
                  <c:v>250</c:v>
                </c:pt>
                <c:pt idx="50">
                  <c:v>250.5</c:v>
                </c:pt>
                <c:pt idx="51">
                  <c:v>252</c:v>
                </c:pt>
                <c:pt idx="52">
                  <c:v>266</c:v>
                </c:pt>
                <c:pt idx="53">
                  <c:v>272</c:v>
                </c:pt>
                <c:pt idx="54">
                  <c:v>275</c:v>
                </c:pt>
                <c:pt idx="55">
                  <c:v>281.5</c:v>
                </c:pt>
                <c:pt idx="56">
                  <c:v>292.5</c:v>
                </c:pt>
                <c:pt idx="57">
                  <c:v>301</c:v>
                </c:pt>
                <c:pt idx="58">
                  <c:v>307</c:v>
                </c:pt>
                <c:pt idx="59">
                  <c:v>310</c:v>
                </c:pt>
                <c:pt idx="60">
                  <c:v>311.5</c:v>
                </c:pt>
                <c:pt idx="61">
                  <c:v>307.5</c:v>
                </c:pt>
                <c:pt idx="62">
                  <c:v>297.5</c:v>
                </c:pt>
                <c:pt idx="63">
                  <c:v>292.5</c:v>
                </c:pt>
                <c:pt idx="64">
                  <c:v>280</c:v>
                </c:pt>
                <c:pt idx="65">
                  <c:v>280.5</c:v>
                </c:pt>
                <c:pt idx="66">
                  <c:v>286</c:v>
                </c:pt>
                <c:pt idx="67">
                  <c:v>296</c:v>
                </c:pt>
                <c:pt idx="68">
                  <c:v>287.5</c:v>
                </c:pt>
                <c:pt idx="69">
                  <c:v>289</c:v>
                </c:pt>
                <c:pt idx="70">
                  <c:v>283.5</c:v>
                </c:pt>
                <c:pt idx="71">
                  <c:v>285</c:v>
                </c:pt>
                <c:pt idx="72">
                  <c:v>282.5</c:v>
                </c:pt>
                <c:pt idx="73">
                  <c:v>272.5</c:v>
                </c:pt>
                <c:pt idx="74">
                  <c:v>271.5</c:v>
                </c:pt>
                <c:pt idx="75">
                  <c:v>271.5</c:v>
                </c:pt>
                <c:pt idx="76">
                  <c:v>268</c:v>
                </c:pt>
                <c:pt idx="77">
                  <c:v>263</c:v>
                </c:pt>
                <c:pt idx="78">
                  <c:v>257</c:v>
                </c:pt>
                <c:pt idx="79">
                  <c:v>252</c:v>
                </c:pt>
                <c:pt idx="80">
                  <c:v>245.5</c:v>
                </c:pt>
                <c:pt idx="81">
                  <c:v>252.5</c:v>
                </c:pt>
                <c:pt idx="82">
                  <c:v>276.5</c:v>
                </c:pt>
                <c:pt idx="83">
                  <c:v>297.5</c:v>
                </c:pt>
                <c:pt idx="84">
                  <c:v>302.5</c:v>
                </c:pt>
                <c:pt idx="85">
                  <c:v>306.5</c:v>
                </c:pt>
                <c:pt idx="86">
                  <c:v>305.5</c:v>
                </c:pt>
                <c:pt idx="87">
                  <c:v>313.5</c:v>
                </c:pt>
                <c:pt idx="88">
                  <c:v>318.5</c:v>
                </c:pt>
                <c:pt idx="89">
                  <c:v>324.5</c:v>
                </c:pt>
                <c:pt idx="90">
                  <c:v>328.5</c:v>
                </c:pt>
                <c:pt idx="91">
                  <c:v>327.5</c:v>
                </c:pt>
                <c:pt idx="92">
                  <c:v>346.5</c:v>
                </c:pt>
                <c:pt idx="93">
                  <c:v>352.5</c:v>
                </c:pt>
                <c:pt idx="94">
                  <c:v>360</c:v>
                </c:pt>
                <c:pt idx="95">
                  <c:v>385</c:v>
                </c:pt>
                <c:pt idx="96">
                  <c:v>390</c:v>
                </c:pt>
                <c:pt idx="97">
                  <c:v>391</c:v>
                </c:pt>
                <c:pt idx="98">
                  <c:v>384</c:v>
                </c:pt>
                <c:pt idx="99">
                  <c:v>380</c:v>
                </c:pt>
                <c:pt idx="100">
                  <c:v>377.5</c:v>
                </c:pt>
                <c:pt idx="101">
                  <c:v>377.5</c:v>
                </c:pt>
                <c:pt idx="102">
                  <c:v>370</c:v>
                </c:pt>
                <c:pt idx="103">
                  <c:v>360</c:v>
                </c:pt>
                <c:pt idx="104">
                  <c:v>340</c:v>
                </c:pt>
                <c:pt idx="105">
                  <c:v>322.5</c:v>
                </c:pt>
                <c:pt idx="106">
                  <c:v>327.5</c:v>
                </c:pt>
                <c:pt idx="107">
                  <c:v>324</c:v>
                </c:pt>
                <c:pt idx="108">
                  <c:v>315</c:v>
                </c:pt>
                <c:pt idx="109">
                  <c:v>330</c:v>
                </c:pt>
                <c:pt idx="110">
                  <c:v>365</c:v>
                </c:pt>
                <c:pt idx="111">
                  <c:v>392.5</c:v>
                </c:pt>
                <c:pt idx="112">
                  <c:v>382</c:v>
                </c:pt>
                <c:pt idx="113">
                  <c:v>385</c:v>
                </c:pt>
                <c:pt idx="114">
                  <c:v>407.5</c:v>
                </c:pt>
                <c:pt idx="115">
                  <c:v>477.5</c:v>
                </c:pt>
                <c:pt idx="116">
                  <c:v>530</c:v>
                </c:pt>
                <c:pt idx="117">
                  <c:v>330</c:v>
                </c:pt>
                <c:pt idx="118">
                  <c:v>280</c:v>
                </c:pt>
                <c:pt idx="119">
                  <c:v>282.5</c:v>
                </c:pt>
                <c:pt idx="120">
                  <c:v>245</c:v>
                </c:pt>
                <c:pt idx="121">
                  <c:v>250</c:v>
                </c:pt>
                <c:pt idx="122">
                  <c:v>238.5</c:v>
                </c:pt>
                <c:pt idx="123">
                  <c:v>240</c:v>
                </c:pt>
                <c:pt idx="124">
                  <c:v>236.5</c:v>
                </c:pt>
                <c:pt idx="125">
                  <c:v>230.5</c:v>
                </c:pt>
                <c:pt idx="126">
                  <c:v>226</c:v>
                </c:pt>
                <c:pt idx="127">
                  <c:v>215</c:v>
                </c:pt>
                <c:pt idx="128">
                  <c:v>220</c:v>
                </c:pt>
                <c:pt idx="129">
                  <c:v>272.5</c:v>
                </c:pt>
                <c:pt idx="130">
                  <c:v>280</c:v>
                </c:pt>
                <c:pt idx="131">
                  <c:v>260</c:v>
                </c:pt>
                <c:pt idx="132">
                  <c:v>263</c:v>
                </c:pt>
                <c:pt idx="133">
                  <c:v>272.5</c:v>
                </c:pt>
                <c:pt idx="134">
                  <c:v>275</c:v>
                </c:pt>
                <c:pt idx="135">
                  <c:v>278</c:v>
                </c:pt>
                <c:pt idx="136">
                  <c:v>275</c:v>
                </c:pt>
                <c:pt idx="137">
                  <c:v>272.5</c:v>
                </c:pt>
                <c:pt idx="138">
                  <c:v>257.5</c:v>
                </c:pt>
                <c:pt idx="139">
                  <c:v>248.5</c:v>
                </c:pt>
                <c:pt idx="140">
                  <c:v>248</c:v>
                </c:pt>
                <c:pt idx="141">
                  <c:v>245.5</c:v>
                </c:pt>
                <c:pt idx="142">
                  <c:v>238</c:v>
                </c:pt>
                <c:pt idx="143">
                  <c:v>236</c:v>
                </c:pt>
                <c:pt idx="144">
                  <c:v>241</c:v>
                </c:pt>
                <c:pt idx="145">
                  <c:v>242</c:v>
                </c:pt>
                <c:pt idx="146">
                  <c:v>242</c:v>
                </c:pt>
                <c:pt idx="147">
                  <c:v>232.5</c:v>
                </c:pt>
                <c:pt idx="148">
                  <c:v>233.5</c:v>
                </c:pt>
                <c:pt idx="149">
                  <c:v>236</c:v>
                </c:pt>
                <c:pt idx="150">
                  <c:v>234</c:v>
                </c:pt>
                <c:pt idx="151">
                  <c:v>234</c:v>
                </c:pt>
                <c:pt idx="152">
                  <c:v>236</c:v>
                </c:pt>
                <c:pt idx="153">
                  <c:v>236</c:v>
                </c:pt>
                <c:pt idx="154">
                  <c:v>238</c:v>
                </c:pt>
                <c:pt idx="155">
                  <c:v>242.5</c:v>
                </c:pt>
                <c:pt idx="156">
                  <c:v>253.5</c:v>
                </c:pt>
                <c:pt idx="157">
                  <c:v>252.5</c:v>
                </c:pt>
                <c:pt idx="158">
                  <c:v>251.5</c:v>
                </c:pt>
                <c:pt idx="159">
                  <c:v>245.5</c:v>
                </c:pt>
                <c:pt idx="160">
                  <c:v>245.5</c:v>
                </c:pt>
                <c:pt idx="161">
                  <c:v>232.5</c:v>
                </c:pt>
                <c:pt idx="162">
                  <c:v>235</c:v>
                </c:pt>
                <c:pt idx="163">
                  <c:v>234</c:v>
                </c:pt>
                <c:pt idx="164">
                  <c:v>233.5</c:v>
                </c:pt>
                <c:pt idx="165">
                  <c:v>229</c:v>
                </c:pt>
                <c:pt idx="166">
                  <c:v>233</c:v>
                </c:pt>
                <c:pt idx="167">
                  <c:v>233</c:v>
                </c:pt>
                <c:pt idx="168">
                  <c:v>232</c:v>
                </c:pt>
                <c:pt idx="169">
                  <c:v>231.5</c:v>
                </c:pt>
                <c:pt idx="170">
                  <c:v>230.5</c:v>
                </c:pt>
                <c:pt idx="171">
                  <c:v>229</c:v>
                </c:pt>
                <c:pt idx="172">
                  <c:v>231</c:v>
                </c:pt>
                <c:pt idx="173">
                  <c:v>241.5</c:v>
                </c:pt>
                <c:pt idx="174">
                  <c:v>252.5</c:v>
                </c:pt>
                <c:pt idx="175">
                  <c:v>252.5</c:v>
                </c:pt>
                <c:pt idx="176">
                  <c:v>250</c:v>
                </c:pt>
                <c:pt idx="177">
                  <c:v>252.5</c:v>
                </c:pt>
                <c:pt idx="178">
                  <c:v>258.5</c:v>
                </c:pt>
                <c:pt idx="179">
                  <c:v>260</c:v>
                </c:pt>
                <c:pt idx="180">
                  <c:v>272</c:v>
                </c:pt>
                <c:pt idx="181">
                  <c:v>279</c:v>
                </c:pt>
                <c:pt idx="182">
                  <c:v>287</c:v>
                </c:pt>
                <c:pt idx="183">
                  <c:v>287</c:v>
                </c:pt>
                <c:pt idx="184">
                  <c:v>280</c:v>
                </c:pt>
                <c:pt idx="185">
                  <c:v>274</c:v>
                </c:pt>
                <c:pt idx="186">
                  <c:v>271</c:v>
                </c:pt>
                <c:pt idx="187">
                  <c:v>273.5</c:v>
                </c:pt>
                <c:pt idx="188">
                  <c:v>273.5</c:v>
                </c:pt>
                <c:pt idx="189">
                  <c:v>268.5</c:v>
                </c:pt>
                <c:pt idx="190">
                  <c:v>261.5</c:v>
                </c:pt>
                <c:pt idx="191">
                  <c:v>251.5</c:v>
                </c:pt>
                <c:pt idx="192">
                  <c:v>244</c:v>
                </c:pt>
                <c:pt idx="193">
                  <c:v>242.5</c:v>
                </c:pt>
                <c:pt idx="194">
                  <c:v>235.5</c:v>
                </c:pt>
                <c:pt idx="195">
                  <c:v>232</c:v>
                </c:pt>
                <c:pt idx="196">
                  <c:v>231.5</c:v>
                </c:pt>
                <c:pt idx="197">
                  <c:v>222.5</c:v>
                </c:pt>
                <c:pt idx="198">
                  <c:v>218.5</c:v>
                </c:pt>
                <c:pt idx="199">
                  <c:v>219.5</c:v>
                </c:pt>
                <c:pt idx="200">
                  <c:v>224</c:v>
                </c:pt>
                <c:pt idx="201">
                  <c:v>233.5</c:v>
                </c:pt>
                <c:pt idx="202">
                  <c:v>234.5</c:v>
                </c:pt>
                <c:pt idx="203">
                  <c:v>241</c:v>
                </c:pt>
                <c:pt idx="204">
                  <c:v>247</c:v>
                </c:pt>
                <c:pt idx="205">
                  <c:v>244.5</c:v>
                </c:pt>
                <c:pt idx="206">
                  <c:v>242.5</c:v>
                </c:pt>
                <c:pt idx="207">
                  <c:v>248</c:v>
                </c:pt>
                <c:pt idx="208">
                  <c:v>265</c:v>
                </c:pt>
                <c:pt idx="209">
                  <c:v>280</c:v>
                </c:pt>
                <c:pt idx="210">
                  <c:v>273.5</c:v>
                </c:pt>
                <c:pt idx="211">
                  <c:v>273.5</c:v>
                </c:pt>
                <c:pt idx="212">
                  <c:v>289.5</c:v>
                </c:pt>
                <c:pt idx="213">
                  <c:v>315</c:v>
                </c:pt>
                <c:pt idx="214">
                  <c:v>337.5</c:v>
                </c:pt>
                <c:pt idx="215">
                  <c:v>327.5</c:v>
                </c:pt>
                <c:pt idx="216">
                  <c:v>328.5</c:v>
                </c:pt>
                <c:pt idx="217">
                  <c:v>324</c:v>
                </c:pt>
                <c:pt idx="218">
                  <c:v>323.5</c:v>
                </c:pt>
                <c:pt idx="219">
                  <c:v>336.5</c:v>
                </c:pt>
                <c:pt idx="220">
                  <c:v>338</c:v>
                </c:pt>
                <c:pt idx="221">
                  <c:v>347.5</c:v>
                </c:pt>
                <c:pt idx="222">
                  <c:v>363</c:v>
                </c:pt>
                <c:pt idx="223">
                  <c:v>372.5</c:v>
                </c:pt>
                <c:pt idx="224">
                  <c:v>368</c:v>
                </c:pt>
                <c:pt idx="225">
                  <c:v>362.5</c:v>
                </c:pt>
                <c:pt idx="226">
                  <c:v>357.5</c:v>
                </c:pt>
                <c:pt idx="227">
                  <c:v>362.5</c:v>
                </c:pt>
                <c:pt idx="228">
                  <c:v>363.5</c:v>
                </c:pt>
                <c:pt idx="229">
                  <c:v>360</c:v>
                </c:pt>
                <c:pt idx="230">
                  <c:v>366</c:v>
                </c:pt>
                <c:pt idx="231">
                  <c:v>363.5</c:v>
                </c:pt>
                <c:pt idx="232">
                  <c:v>359</c:v>
                </c:pt>
                <c:pt idx="233">
                  <c:v>359</c:v>
                </c:pt>
                <c:pt idx="234">
                  <c:v>358</c:v>
                </c:pt>
                <c:pt idx="235">
                  <c:v>351</c:v>
                </c:pt>
                <c:pt idx="236">
                  <c:v>335</c:v>
                </c:pt>
                <c:pt idx="237">
                  <c:v>325</c:v>
                </c:pt>
                <c:pt idx="238">
                  <c:v>312.5</c:v>
                </c:pt>
                <c:pt idx="239">
                  <c:v>310</c:v>
                </c:pt>
                <c:pt idx="240">
                  <c:v>302.5</c:v>
                </c:pt>
                <c:pt idx="241">
                  <c:v>311</c:v>
                </c:pt>
                <c:pt idx="242">
                  <c:v>333</c:v>
                </c:pt>
                <c:pt idx="243">
                  <c:v>342.5</c:v>
                </c:pt>
                <c:pt idx="244">
                  <c:v>347.5</c:v>
                </c:pt>
                <c:pt idx="245">
                  <c:v>365</c:v>
                </c:pt>
                <c:pt idx="246">
                  <c:v>370</c:v>
                </c:pt>
                <c:pt idx="247">
                  <c:v>404.5</c:v>
                </c:pt>
                <c:pt idx="248">
                  <c:v>412.5</c:v>
                </c:pt>
                <c:pt idx="249">
                  <c:v>426</c:v>
                </c:pt>
                <c:pt idx="250">
                  <c:v>461</c:v>
                </c:pt>
                <c:pt idx="251">
                  <c:v>485</c:v>
                </c:pt>
                <c:pt idx="252">
                  <c:v>507.5</c:v>
                </c:pt>
                <c:pt idx="253">
                  <c:v>495</c:v>
                </c:pt>
                <c:pt idx="254">
                  <c:v>465</c:v>
                </c:pt>
                <c:pt idx="255">
                  <c:v>445</c:v>
                </c:pt>
                <c:pt idx="256">
                  <c:v>465</c:v>
                </c:pt>
                <c:pt idx="257">
                  <c:v>465</c:v>
                </c:pt>
                <c:pt idx="258">
                  <c:v>475</c:v>
                </c:pt>
                <c:pt idx="259">
                  <c:v>465</c:v>
                </c:pt>
                <c:pt idx="260">
                  <c:v>469.5</c:v>
                </c:pt>
                <c:pt idx="261">
                  <c:v>475</c:v>
                </c:pt>
                <c:pt idx="262">
                  <c:v>486.5</c:v>
                </c:pt>
                <c:pt idx="263">
                  <c:v>492.5</c:v>
                </c:pt>
                <c:pt idx="264">
                  <c:v>502</c:v>
                </c:pt>
                <c:pt idx="265">
                  <c:v>502.5</c:v>
                </c:pt>
                <c:pt idx="266">
                  <c:v>500</c:v>
                </c:pt>
                <c:pt idx="267">
                  <c:v>470</c:v>
                </c:pt>
                <c:pt idx="268">
                  <c:v>472.5</c:v>
                </c:pt>
                <c:pt idx="269">
                  <c:v>481.5</c:v>
                </c:pt>
                <c:pt idx="270">
                  <c:v>484</c:v>
                </c:pt>
                <c:pt idx="271">
                  <c:v>476.5</c:v>
                </c:pt>
                <c:pt idx="272">
                  <c:v>468</c:v>
                </c:pt>
                <c:pt idx="273">
                  <c:v>462.5</c:v>
                </c:pt>
                <c:pt idx="274">
                  <c:v>460</c:v>
                </c:pt>
                <c:pt idx="275">
                  <c:v>400</c:v>
                </c:pt>
                <c:pt idx="276">
                  <c:v>365</c:v>
                </c:pt>
                <c:pt idx="277">
                  <c:v>333.5</c:v>
                </c:pt>
                <c:pt idx="278">
                  <c:v>307.5</c:v>
                </c:pt>
                <c:pt idx="279">
                  <c:v>315</c:v>
                </c:pt>
                <c:pt idx="280">
                  <c:v>330</c:v>
                </c:pt>
                <c:pt idx="281">
                  <c:v>367.5</c:v>
                </c:pt>
                <c:pt idx="282">
                  <c:v>362.5</c:v>
                </c:pt>
                <c:pt idx="283">
                  <c:v>360</c:v>
                </c:pt>
                <c:pt idx="284">
                  <c:v>364</c:v>
                </c:pt>
                <c:pt idx="285">
                  <c:v>360</c:v>
                </c:pt>
                <c:pt idx="286">
                  <c:v>370</c:v>
                </c:pt>
                <c:pt idx="287">
                  <c:v>377.5</c:v>
                </c:pt>
                <c:pt idx="288">
                  <c:v>387.5</c:v>
                </c:pt>
                <c:pt idx="289">
                  <c:v>390</c:v>
                </c:pt>
                <c:pt idx="290">
                  <c:v>392.5</c:v>
                </c:pt>
                <c:pt idx="291">
                  <c:v>425</c:v>
                </c:pt>
                <c:pt idx="292">
                  <c:v>442.5</c:v>
                </c:pt>
                <c:pt idx="293">
                  <c:v>450</c:v>
                </c:pt>
                <c:pt idx="294">
                  <c:v>493.5</c:v>
                </c:pt>
                <c:pt idx="295">
                  <c:v>508.5</c:v>
                </c:pt>
                <c:pt idx="296">
                  <c:v>508.5</c:v>
                </c:pt>
                <c:pt idx="297">
                  <c:v>516</c:v>
                </c:pt>
                <c:pt idx="298">
                  <c:v>527.5</c:v>
                </c:pt>
                <c:pt idx="299">
                  <c:v>485</c:v>
                </c:pt>
                <c:pt idx="300">
                  <c:v>475</c:v>
                </c:pt>
                <c:pt idx="301">
                  <c:v>455</c:v>
                </c:pt>
                <c:pt idx="302">
                  <c:v>442.5</c:v>
                </c:pt>
                <c:pt idx="303">
                  <c:v>435</c:v>
                </c:pt>
                <c:pt idx="304">
                  <c:v>400</c:v>
                </c:pt>
                <c:pt idx="305">
                  <c:v>367.5</c:v>
                </c:pt>
                <c:pt idx="306">
                  <c:v>357.5</c:v>
                </c:pt>
                <c:pt idx="307">
                  <c:v>402.5</c:v>
                </c:pt>
                <c:pt idx="308">
                  <c:v>380</c:v>
                </c:pt>
                <c:pt idx="309">
                  <c:v>380</c:v>
                </c:pt>
                <c:pt idx="310">
                  <c:v>381.5</c:v>
                </c:pt>
                <c:pt idx="311">
                  <c:v>370</c:v>
                </c:pt>
                <c:pt idx="312">
                  <c:v>365</c:v>
                </c:pt>
                <c:pt idx="313">
                  <c:v>367.5</c:v>
                </c:pt>
                <c:pt idx="314">
                  <c:v>375</c:v>
                </c:pt>
                <c:pt idx="315">
                  <c:v>372.5</c:v>
                </c:pt>
                <c:pt idx="316">
                  <c:v>378.5</c:v>
                </c:pt>
                <c:pt idx="317">
                  <c:v>385</c:v>
                </c:pt>
                <c:pt idx="318">
                  <c:v>385</c:v>
                </c:pt>
                <c:pt idx="319">
                  <c:v>390</c:v>
                </c:pt>
                <c:pt idx="320">
                  <c:v>402.5</c:v>
                </c:pt>
                <c:pt idx="321">
                  <c:v>400</c:v>
                </c:pt>
                <c:pt idx="322">
                  <c:v>383.5</c:v>
                </c:pt>
                <c:pt idx="323">
                  <c:v>377.5</c:v>
                </c:pt>
                <c:pt idx="324">
                  <c:v>365</c:v>
                </c:pt>
                <c:pt idx="325">
                  <c:v>359</c:v>
                </c:pt>
                <c:pt idx="326">
                  <c:v>367</c:v>
                </c:pt>
                <c:pt idx="327">
                  <c:v>365</c:v>
                </c:pt>
                <c:pt idx="328">
                  <c:v>369</c:v>
                </c:pt>
                <c:pt idx="329">
                  <c:v>367.5</c:v>
                </c:pt>
                <c:pt idx="330">
                  <c:v>366.5</c:v>
                </c:pt>
                <c:pt idx="331">
                  <c:v>365</c:v>
                </c:pt>
                <c:pt idx="332">
                  <c:v>367</c:v>
                </c:pt>
                <c:pt idx="333">
                  <c:v>370</c:v>
                </c:pt>
                <c:pt idx="334">
                  <c:v>378</c:v>
                </c:pt>
                <c:pt idx="335">
                  <c:v>385</c:v>
                </c:pt>
                <c:pt idx="336">
                  <c:v>400</c:v>
                </c:pt>
                <c:pt idx="337">
                  <c:v>412.5</c:v>
                </c:pt>
                <c:pt idx="338">
                  <c:v>415</c:v>
                </c:pt>
                <c:pt idx="339">
                  <c:v>387.5</c:v>
                </c:pt>
                <c:pt idx="340">
                  <c:v>380</c:v>
                </c:pt>
                <c:pt idx="341">
                  <c:v>380</c:v>
                </c:pt>
                <c:pt idx="342">
                  <c:v>377.5</c:v>
                </c:pt>
                <c:pt idx="343">
                  <c:v>372.5</c:v>
                </c:pt>
                <c:pt idx="344">
                  <c:v>372.5</c:v>
                </c:pt>
                <c:pt idx="345">
                  <c:v>372.5</c:v>
                </c:pt>
                <c:pt idx="346">
                  <c:v>352.5</c:v>
                </c:pt>
                <c:pt idx="347">
                  <c:v>346</c:v>
                </c:pt>
                <c:pt idx="348">
                  <c:v>353.5</c:v>
                </c:pt>
                <c:pt idx="349">
                  <c:v>347.5</c:v>
                </c:pt>
                <c:pt idx="350">
                  <c:v>342.5</c:v>
                </c:pt>
                <c:pt idx="351">
                  <c:v>340</c:v>
                </c:pt>
                <c:pt idx="352">
                  <c:v>337.5</c:v>
                </c:pt>
                <c:pt idx="353">
                  <c:v>337.5</c:v>
                </c:pt>
                <c:pt idx="354">
                  <c:v>327.5</c:v>
                </c:pt>
                <c:pt idx="355">
                  <c:v>305</c:v>
                </c:pt>
                <c:pt idx="356">
                  <c:v>307.5</c:v>
                </c:pt>
                <c:pt idx="357">
                  <c:v>307.5</c:v>
                </c:pt>
                <c:pt idx="358">
                  <c:v>317.5</c:v>
                </c:pt>
                <c:pt idx="359">
                  <c:v>317.5</c:v>
                </c:pt>
                <c:pt idx="360">
                  <c:v>322.5</c:v>
                </c:pt>
                <c:pt idx="361">
                  <c:v>321.5</c:v>
                </c:pt>
                <c:pt idx="362">
                  <c:v>319</c:v>
                </c:pt>
                <c:pt idx="363">
                  <c:v>312.5</c:v>
                </c:pt>
                <c:pt idx="364">
                  <c:v>298.5</c:v>
                </c:pt>
                <c:pt idx="365">
                  <c:v>289.5</c:v>
                </c:pt>
                <c:pt idx="366">
                  <c:v>280.5</c:v>
                </c:pt>
                <c:pt idx="367">
                  <c:v>270.5</c:v>
                </c:pt>
                <c:pt idx="368">
                  <c:v>275</c:v>
                </c:pt>
                <c:pt idx="369">
                  <c:v>274</c:v>
                </c:pt>
                <c:pt idx="370">
                  <c:v>277.5</c:v>
                </c:pt>
                <c:pt idx="371">
                  <c:v>280</c:v>
                </c:pt>
                <c:pt idx="372">
                  <c:v>282.5</c:v>
                </c:pt>
                <c:pt idx="373">
                  <c:v>285.5</c:v>
                </c:pt>
                <c:pt idx="374">
                  <c:v>286</c:v>
                </c:pt>
                <c:pt idx="375">
                  <c:v>293</c:v>
                </c:pt>
                <c:pt idx="376">
                  <c:v>300.5</c:v>
                </c:pt>
                <c:pt idx="377">
                  <c:v>302.5</c:v>
                </c:pt>
                <c:pt idx="378">
                  <c:v>300</c:v>
                </c:pt>
                <c:pt idx="379">
                  <c:v>307.5</c:v>
                </c:pt>
                <c:pt idx="380">
                  <c:v>313</c:v>
                </c:pt>
                <c:pt idx="381">
                  <c:v>323</c:v>
                </c:pt>
                <c:pt idx="382">
                  <c:v>332.5</c:v>
                </c:pt>
                <c:pt idx="383">
                  <c:v>332.5</c:v>
                </c:pt>
                <c:pt idx="384">
                  <c:v>323.5</c:v>
                </c:pt>
                <c:pt idx="385">
                  <c:v>325</c:v>
                </c:pt>
                <c:pt idx="386">
                  <c:v>335</c:v>
                </c:pt>
                <c:pt idx="387">
                  <c:v>360</c:v>
                </c:pt>
                <c:pt idx="388">
                  <c:v>354</c:v>
                </c:pt>
                <c:pt idx="389">
                  <c:v>351.5</c:v>
                </c:pt>
                <c:pt idx="390">
                  <c:v>337.5</c:v>
                </c:pt>
                <c:pt idx="391">
                  <c:v>333</c:v>
                </c:pt>
                <c:pt idx="392">
                  <c:v>325</c:v>
                </c:pt>
                <c:pt idx="393">
                  <c:v>322.5</c:v>
                </c:pt>
                <c:pt idx="394">
                  <c:v>314.5</c:v>
                </c:pt>
                <c:pt idx="395">
                  <c:v>307.5</c:v>
                </c:pt>
                <c:pt idx="396">
                  <c:v>300</c:v>
                </c:pt>
                <c:pt idx="397">
                  <c:v>290</c:v>
                </c:pt>
                <c:pt idx="398">
                  <c:v>286.5</c:v>
                </c:pt>
                <c:pt idx="399">
                  <c:v>290.5</c:v>
                </c:pt>
                <c:pt idx="400">
                  <c:v>292.5</c:v>
                </c:pt>
                <c:pt idx="401">
                  <c:v>296.5</c:v>
                </c:pt>
                <c:pt idx="402">
                  <c:v>296.5</c:v>
                </c:pt>
                <c:pt idx="403">
                  <c:v>296.5</c:v>
                </c:pt>
                <c:pt idx="404">
                  <c:v>287.5</c:v>
                </c:pt>
                <c:pt idx="405">
                  <c:v>295</c:v>
                </c:pt>
                <c:pt idx="406">
                  <c:v>295</c:v>
                </c:pt>
                <c:pt idx="407">
                  <c:v>300</c:v>
                </c:pt>
                <c:pt idx="408">
                  <c:v>300</c:v>
                </c:pt>
                <c:pt idx="409">
                  <c:v>300</c:v>
                </c:pt>
                <c:pt idx="410">
                  <c:v>302.5</c:v>
                </c:pt>
                <c:pt idx="411">
                  <c:v>301.5</c:v>
                </c:pt>
                <c:pt idx="412">
                  <c:v>292.5</c:v>
                </c:pt>
                <c:pt idx="413">
                  <c:v>295</c:v>
                </c:pt>
                <c:pt idx="414">
                  <c:v>305</c:v>
                </c:pt>
                <c:pt idx="415">
                  <c:v>307.5</c:v>
                </c:pt>
                <c:pt idx="416">
                  <c:v>310.5</c:v>
                </c:pt>
                <c:pt idx="417">
                  <c:v>323.5</c:v>
                </c:pt>
                <c:pt idx="418">
                  <c:v>329.5</c:v>
                </c:pt>
                <c:pt idx="419">
                  <c:v>332.5</c:v>
                </c:pt>
                <c:pt idx="420">
                  <c:v>330</c:v>
                </c:pt>
                <c:pt idx="421">
                  <c:v>327.5</c:v>
                </c:pt>
                <c:pt idx="422">
                  <c:v>320</c:v>
                </c:pt>
                <c:pt idx="423">
                  <c:v>320</c:v>
                </c:pt>
                <c:pt idx="424">
                  <c:v>320</c:v>
                </c:pt>
                <c:pt idx="425">
                  <c:v>320</c:v>
                </c:pt>
                <c:pt idx="426">
                  <c:v>317.5</c:v>
                </c:pt>
                <c:pt idx="427">
                  <c:v>317.5</c:v>
                </c:pt>
                <c:pt idx="428">
                  <c:v>312</c:v>
                </c:pt>
                <c:pt idx="429">
                  <c:v>312</c:v>
                </c:pt>
                <c:pt idx="430">
                  <c:v>306.5</c:v>
                </c:pt>
                <c:pt idx="431">
                  <c:v>302.5</c:v>
                </c:pt>
                <c:pt idx="432">
                  <c:v>300</c:v>
                </c:pt>
                <c:pt idx="433">
                  <c:v>305</c:v>
                </c:pt>
                <c:pt idx="434">
                  <c:v>315</c:v>
                </c:pt>
                <c:pt idx="435">
                  <c:v>315</c:v>
                </c:pt>
                <c:pt idx="436">
                  <c:v>317.5</c:v>
                </c:pt>
                <c:pt idx="437">
                  <c:v>312.5</c:v>
                </c:pt>
                <c:pt idx="438">
                  <c:v>312.5</c:v>
                </c:pt>
                <c:pt idx="439">
                  <c:v>302.5</c:v>
                </c:pt>
                <c:pt idx="440">
                  <c:v>302.5</c:v>
                </c:pt>
                <c:pt idx="441">
                  <c:v>296</c:v>
                </c:pt>
                <c:pt idx="442">
                  <c:v>291</c:v>
                </c:pt>
                <c:pt idx="443">
                  <c:v>284.5</c:v>
                </c:pt>
                <c:pt idx="444">
                  <c:v>275.5</c:v>
                </c:pt>
                <c:pt idx="445">
                  <c:v>270.5</c:v>
                </c:pt>
                <c:pt idx="446">
                  <c:v>260.5</c:v>
                </c:pt>
                <c:pt idx="447">
                  <c:v>260.5</c:v>
                </c:pt>
                <c:pt idx="448">
                  <c:v>257.5</c:v>
                </c:pt>
                <c:pt idx="449">
                  <c:v>249.5</c:v>
                </c:pt>
                <c:pt idx="450">
                  <c:v>247.5</c:v>
                </c:pt>
                <c:pt idx="451">
                  <c:v>250.5</c:v>
                </c:pt>
                <c:pt idx="452">
                  <c:v>260</c:v>
                </c:pt>
                <c:pt idx="453">
                  <c:v>268</c:v>
                </c:pt>
                <c:pt idx="454">
                  <c:v>275.5</c:v>
                </c:pt>
                <c:pt idx="455">
                  <c:v>280.5</c:v>
                </c:pt>
                <c:pt idx="456">
                  <c:v>282.5</c:v>
                </c:pt>
                <c:pt idx="457">
                  <c:v>290.5</c:v>
                </c:pt>
                <c:pt idx="458">
                  <c:v>288</c:v>
                </c:pt>
                <c:pt idx="459">
                  <c:v>287.5</c:v>
                </c:pt>
                <c:pt idx="460">
                  <c:v>286.5</c:v>
                </c:pt>
                <c:pt idx="461">
                  <c:v>282.5</c:v>
                </c:pt>
                <c:pt idx="462">
                  <c:v>279.5</c:v>
                </c:pt>
                <c:pt idx="463">
                  <c:v>267.5</c:v>
                </c:pt>
                <c:pt idx="464">
                  <c:v>265.5</c:v>
                </c:pt>
                <c:pt idx="465">
                  <c:v>261.5</c:v>
                </c:pt>
                <c:pt idx="466">
                  <c:v>267.5</c:v>
                </c:pt>
                <c:pt idx="467">
                  <c:v>273</c:v>
                </c:pt>
                <c:pt idx="468">
                  <c:v>270.5</c:v>
                </c:pt>
                <c:pt idx="469">
                  <c:v>269</c:v>
                </c:pt>
                <c:pt idx="470">
                  <c:v>263.5</c:v>
                </c:pt>
                <c:pt idx="471">
                  <c:v>260</c:v>
                </c:pt>
                <c:pt idx="472">
                  <c:v>252.5</c:v>
                </c:pt>
                <c:pt idx="473">
                  <c:v>245</c:v>
                </c:pt>
                <c:pt idx="474">
                  <c:v>244</c:v>
                </c:pt>
                <c:pt idx="475">
                  <c:v>245.5</c:v>
                </c:pt>
                <c:pt idx="476">
                  <c:v>248.5</c:v>
                </c:pt>
                <c:pt idx="477">
                  <c:v>251.5</c:v>
                </c:pt>
                <c:pt idx="478">
                  <c:v>257.5</c:v>
                </c:pt>
                <c:pt idx="479">
                  <c:v>260</c:v>
                </c:pt>
                <c:pt idx="480">
                  <c:v>260.5</c:v>
                </c:pt>
                <c:pt idx="481">
                  <c:v>255.5</c:v>
                </c:pt>
                <c:pt idx="482">
                  <c:v>246</c:v>
                </c:pt>
                <c:pt idx="483">
                  <c:v>237.5</c:v>
                </c:pt>
                <c:pt idx="484">
                  <c:v>239</c:v>
                </c:pt>
                <c:pt idx="485">
                  <c:v>234.5</c:v>
                </c:pt>
                <c:pt idx="486">
                  <c:v>231.5</c:v>
                </c:pt>
                <c:pt idx="487">
                  <c:v>231.5</c:v>
                </c:pt>
                <c:pt idx="488">
                  <c:v>226.5</c:v>
                </c:pt>
                <c:pt idx="489">
                  <c:v>219.5</c:v>
                </c:pt>
                <c:pt idx="490">
                  <c:v>206</c:v>
                </c:pt>
                <c:pt idx="491">
                  <c:v>184</c:v>
                </c:pt>
                <c:pt idx="492">
                  <c:v>190.5</c:v>
                </c:pt>
                <c:pt idx="493">
                  <c:v>190.5</c:v>
                </c:pt>
                <c:pt idx="494">
                  <c:v>202.5</c:v>
                </c:pt>
                <c:pt idx="495">
                  <c:v>210.5</c:v>
                </c:pt>
                <c:pt idx="496">
                  <c:v>205.5</c:v>
                </c:pt>
                <c:pt idx="497">
                  <c:v>196</c:v>
                </c:pt>
                <c:pt idx="498">
                  <c:v>186.5</c:v>
                </c:pt>
                <c:pt idx="499">
                  <c:v>186.5</c:v>
                </c:pt>
                <c:pt idx="500">
                  <c:v>193.5</c:v>
                </c:pt>
                <c:pt idx="501">
                  <c:v>197.5</c:v>
                </c:pt>
                <c:pt idx="502">
                  <c:v>200</c:v>
                </c:pt>
                <c:pt idx="503">
                  <c:v>202</c:v>
                </c:pt>
                <c:pt idx="504">
                  <c:v>201.5</c:v>
                </c:pt>
                <c:pt idx="505">
                  <c:v>198.5</c:v>
                </c:pt>
                <c:pt idx="506">
                  <c:v>196.5</c:v>
                </c:pt>
                <c:pt idx="507">
                  <c:v>195.5</c:v>
                </c:pt>
                <c:pt idx="508">
                  <c:v>187.5</c:v>
                </c:pt>
                <c:pt idx="509">
                  <c:v>190.5</c:v>
                </c:pt>
                <c:pt idx="510">
                  <c:v>191</c:v>
                </c:pt>
                <c:pt idx="511">
                  <c:v>190.5</c:v>
                </c:pt>
                <c:pt idx="512">
                  <c:v>186</c:v>
                </c:pt>
                <c:pt idx="513">
                  <c:v>186.5</c:v>
                </c:pt>
                <c:pt idx="514">
                  <c:v>181.5</c:v>
                </c:pt>
                <c:pt idx="515">
                  <c:v>175</c:v>
                </c:pt>
                <c:pt idx="516">
                  <c:v>174</c:v>
                </c:pt>
                <c:pt idx="517">
                  <c:v>175.5</c:v>
                </c:pt>
                <c:pt idx="518">
                  <c:v>176.5</c:v>
                </c:pt>
                <c:pt idx="519">
                  <c:v>180</c:v>
                </c:pt>
                <c:pt idx="520">
                  <c:v>182</c:v>
                </c:pt>
                <c:pt idx="521">
                  <c:v>184</c:v>
                </c:pt>
                <c:pt idx="522">
                  <c:v>187</c:v>
                </c:pt>
                <c:pt idx="523">
                  <c:v>189</c:v>
                </c:pt>
                <c:pt idx="524">
                  <c:v>188.5</c:v>
                </c:pt>
                <c:pt idx="525">
                  <c:v>188.5</c:v>
                </c:pt>
                <c:pt idx="526">
                  <c:v>188.5</c:v>
                </c:pt>
                <c:pt idx="527">
                  <c:v>186.5</c:v>
                </c:pt>
                <c:pt idx="528">
                  <c:v>187</c:v>
                </c:pt>
                <c:pt idx="529">
                  <c:v>190.5</c:v>
                </c:pt>
                <c:pt idx="530">
                  <c:v>190.5</c:v>
                </c:pt>
                <c:pt idx="531">
                  <c:v>195</c:v>
                </c:pt>
                <c:pt idx="532">
                  <c:v>207.5</c:v>
                </c:pt>
                <c:pt idx="533">
                  <c:v>220.5</c:v>
                </c:pt>
                <c:pt idx="534">
                  <c:v>220</c:v>
                </c:pt>
                <c:pt idx="535">
                  <c:v>207.5</c:v>
                </c:pt>
                <c:pt idx="536">
                  <c:v>212.5</c:v>
                </c:pt>
                <c:pt idx="537">
                  <c:v>214</c:v>
                </c:pt>
                <c:pt idx="538">
                  <c:v>220.5</c:v>
                </c:pt>
                <c:pt idx="539">
                  <c:v>221.5</c:v>
                </c:pt>
                <c:pt idx="540">
                  <c:v>230.5</c:v>
                </c:pt>
                <c:pt idx="541">
                  <c:v>246.5</c:v>
                </c:pt>
                <c:pt idx="542">
                  <c:v>247.5</c:v>
                </c:pt>
                <c:pt idx="543">
                  <c:v>250</c:v>
                </c:pt>
                <c:pt idx="544">
                  <c:v>250</c:v>
                </c:pt>
                <c:pt idx="545">
                  <c:v>250</c:v>
                </c:pt>
                <c:pt idx="546">
                  <c:v>245</c:v>
                </c:pt>
                <c:pt idx="547">
                  <c:v>242.5</c:v>
                </c:pt>
                <c:pt idx="548">
                  <c:v>239</c:v>
                </c:pt>
                <c:pt idx="549">
                  <c:v>232</c:v>
                </c:pt>
                <c:pt idx="550">
                  <c:v>230.5</c:v>
                </c:pt>
                <c:pt idx="551">
                  <c:v>204</c:v>
                </c:pt>
              </c:numCache>
            </c:numRef>
          </c:xVal>
          <c:yVal>
            <c:numRef>
              <c:f>model!$E$472:$E$1023</c:f>
              <c:numCache>
                <c:formatCode>General</c:formatCode>
                <c:ptCount val="552"/>
                <c:pt idx="0">
                  <c:v>159</c:v>
                </c:pt>
                <c:pt idx="1">
                  <c:v>159</c:v>
                </c:pt>
                <c:pt idx="2">
                  <c:v>159</c:v>
                </c:pt>
                <c:pt idx="3">
                  <c:v>159</c:v>
                </c:pt>
                <c:pt idx="4">
                  <c:v>153.5</c:v>
                </c:pt>
                <c:pt idx="5">
                  <c:v>153.5</c:v>
                </c:pt>
                <c:pt idx="6">
                  <c:v>153.5</c:v>
                </c:pt>
                <c:pt idx="7">
                  <c:v>153.5</c:v>
                </c:pt>
                <c:pt idx="8">
                  <c:v>151</c:v>
                </c:pt>
                <c:pt idx="9">
                  <c:v>151</c:v>
                </c:pt>
                <c:pt idx="10">
                  <c:v>151</c:v>
                </c:pt>
                <c:pt idx="11">
                  <c:v>151</c:v>
                </c:pt>
                <c:pt idx="12">
                  <c:v>151</c:v>
                </c:pt>
                <c:pt idx="13">
                  <c:v>151</c:v>
                </c:pt>
                <c:pt idx="14">
                  <c:v>149</c:v>
                </c:pt>
                <c:pt idx="15">
                  <c:v>149</c:v>
                </c:pt>
                <c:pt idx="16">
                  <c:v>149</c:v>
                </c:pt>
                <c:pt idx="17">
                  <c:v>149</c:v>
                </c:pt>
                <c:pt idx="18">
                  <c:v>149</c:v>
                </c:pt>
                <c:pt idx="19">
                  <c:v>146.5</c:v>
                </c:pt>
                <c:pt idx="20">
                  <c:v>146.5</c:v>
                </c:pt>
                <c:pt idx="21">
                  <c:v>137.5</c:v>
                </c:pt>
                <c:pt idx="22">
                  <c:v>136.5</c:v>
                </c:pt>
                <c:pt idx="23">
                  <c:v>132.5</c:v>
                </c:pt>
                <c:pt idx="24">
                  <c:v>130</c:v>
                </c:pt>
                <c:pt idx="25">
                  <c:v>130</c:v>
                </c:pt>
                <c:pt idx="26">
                  <c:v>130</c:v>
                </c:pt>
                <c:pt idx="27">
                  <c:v>137.5</c:v>
                </c:pt>
                <c:pt idx="28">
                  <c:v>137.5</c:v>
                </c:pt>
                <c:pt idx="29">
                  <c:v>142.5</c:v>
                </c:pt>
                <c:pt idx="30">
                  <c:v>142.5</c:v>
                </c:pt>
                <c:pt idx="31">
                  <c:v>142.5</c:v>
                </c:pt>
                <c:pt idx="32">
                  <c:v>146.5</c:v>
                </c:pt>
                <c:pt idx="33">
                  <c:v>149</c:v>
                </c:pt>
                <c:pt idx="34">
                  <c:v>149</c:v>
                </c:pt>
                <c:pt idx="35">
                  <c:v>149</c:v>
                </c:pt>
                <c:pt idx="36">
                  <c:v>149</c:v>
                </c:pt>
                <c:pt idx="37">
                  <c:v>149</c:v>
                </c:pt>
                <c:pt idx="38">
                  <c:v>149</c:v>
                </c:pt>
                <c:pt idx="39">
                  <c:v>125</c:v>
                </c:pt>
                <c:pt idx="40">
                  <c:v>127.5</c:v>
                </c:pt>
                <c:pt idx="41">
                  <c:v>127.5</c:v>
                </c:pt>
                <c:pt idx="42">
                  <c:v>135</c:v>
                </c:pt>
                <c:pt idx="43">
                  <c:v>132.5</c:v>
                </c:pt>
                <c:pt idx="44">
                  <c:v>132.5</c:v>
                </c:pt>
                <c:pt idx="45">
                  <c:v>137.5</c:v>
                </c:pt>
                <c:pt idx="46">
                  <c:v>152.5</c:v>
                </c:pt>
                <c:pt idx="47">
                  <c:v>152.5</c:v>
                </c:pt>
                <c:pt idx="48">
                  <c:v>152.5</c:v>
                </c:pt>
                <c:pt idx="49">
                  <c:v>152.5</c:v>
                </c:pt>
                <c:pt idx="50">
                  <c:v>173</c:v>
                </c:pt>
                <c:pt idx="51">
                  <c:v>173</c:v>
                </c:pt>
                <c:pt idx="52">
                  <c:v>173</c:v>
                </c:pt>
                <c:pt idx="53">
                  <c:v>177.5</c:v>
                </c:pt>
                <c:pt idx="54">
                  <c:v>175</c:v>
                </c:pt>
                <c:pt idx="55">
                  <c:v>175</c:v>
                </c:pt>
                <c:pt idx="56">
                  <c:v>187.5</c:v>
                </c:pt>
                <c:pt idx="57">
                  <c:v>201</c:v>
                </c:pt>
                <c:pt idx="58">
                  <c:v>201</c:v>
                </c:pt>
                <c:pt idx="59">
                  <c:v>201</c:v>
                </c:pt>
                <c:pt idx="60">
                  <c:v>201</c:v>
                </c:pt>
                <c:pt idx="61">
                  <c:v>201</c:v>
                </c:pt>
                <c:pt idx="62">
                  <c:v>217.5</c:v>
                </c:pt>
                <c:pt idx="63">
                  <c:v>217.5</c:v>
                </c:pt>
                <c:pt idx="64">
                  <c:v>217.5</c:v>
                </c:pt>
                <c:pt idx="65">
                  <c:v>212.5</c:v>
                </c:pt>
                <c:pt idx="66">
                  <c:v>212.5</c:v>
                </c:pt>
                <c:pt idx="67">
                  <c:v>212.5</c:v>
                </c:pt>
                <c:pt idx="68">
                  <c:v>206.5</c:v>
                </c:pt>
                <c:pt idx="69">
                  <c:v>206.5</c:v>
                </c:pt>
                <c:pt idx="70">
                  <c:v>200</c:v>
                </c:pt>
                <c:pt idx="71">
                  <c:v>187.5</c:v>
                </c:pt>
                <c:pt idx="72">
                  <c:v>186.5</c:v>
                </c:pt>
                <c:pt idx="73">
                  <c:v>186.5</c:v>
                </c:pt>
                <c:pt idx="74">
                  <c:v>196</c:v>
                </c:pt>
                <c:pt idx="75">
                  <c:v>210</c:v>
                </c:pt>
                <c:pt idx="76">
                  <c:v>216.5</c:v>
                </c:pt>
                <c:pt idx="77">
                  <c:v>222</c:v>
                </c:pt>
                <c:pt idx="78">
                  <c:v>227.5</c:v>
                </c:pt>
                <c:pt idx="79">
                  <c:v>227.5</c:v>
                </c:pt>
                <c:pt idx="80">
                  <c:v>237.5</c:v>
                </c:pt>
                <c:pt idx="81">
                  <c:v>241</c:v>
                </c:pt>
                <c:pt idx="82">
                  <c:v>241</c:v>
                </c:pt>
                <c:pt idx="83">
                  <c:v>241</c:v>
                </c:pt>
                <c:pt idx="84">
                  <c:v>241</c:v>
                </c:pt>
                <c:pt idx="85">
                  <c:v>231.5</c:v>
                </c:pt>
                <c:pt idx="86">
                  <c:v>242.5</c:v>
                </c:pt>
                <c:pt idx="87">
                  <c:v>242.5</c:v>
                </c:pt>
                <c:pt idx="88">
                  <c:v>242.5</c:v>
                </c:pt>
                <c:pt idx="89">
                  <c:v>242.5</c:v>
                </c:pt>
                <c:pt idx="90">
                  <c:v>251</c:v>
                </c:pt>
                <c:pt idx="91">
                  <c:v>259</c:v>
                </c:pt>
                <c:pt idx="92">
                  <c:v>262.5</c:v>
                </c:pt>
                <c:pt idx="93">
                  <c:v>265</c:v>
                </c:pt>
                <c:pt idx="94">
                  <c:v>265</c:v>
                </c:pt>
                <c:pt idx="95">
                  <c:v>280</c:v>
                </c:pt>
                <c:pt idx="96">
                  <c:v>302.5</c:v>
                </c:pt>
                <c:pt idx="97">
                  <c:v>305</c:v>
                </c:pt>
                <c:pt idx="98">
                  <c:v>309</c:v>
                </c:pt>
                <c:pt idx="99">
                  <c:v>309</c:v>
                </c:pt>
                <c:pt idx="100">
                  <c:v>309</c:v>
                </c:pt>
                <c:pt idx="101">
                  <c:v>337.5</c:v>
                </c:pt>
                <c:pt idx="102">
                  <c:v>339.5</c:v>
                </c:pt>
                <c:pt idx="103">
                  <c:v>339.5</c:v>
                </c:pt>
                <c:pt idx="104">
                  <c:v>299</c:v>
                </c:pt>
                <c:pt idx="105">
                  <c:v>317.5</c:v>
                </c:pt>
                <c:pt idx="106">
                  <c:v>327.5</c:v>
                </c:pt>
                <c:pt idx="107">
                  <c:v>327.5</c:v>
                </c:pt>
                <c:pt idx="108">
                  <c:v>302.5</c:v>
                </c:pt>
                <c:pt idx="109">
                  <c:v>302.5</c:v>
                </c:pt>
                <c:pt idx="110">
                  <c:v>302.5</c:v>
                </c:pt>
                <c:pt idx="111">
                  <c:v>302.5</c:v>
                </c:pt>
                <c:pt idx="112">
                  <c:v>302.5</c:v>
                </c:pt>
                <c:pt idx="113">
                  <c:v>302.5</c:v>
                </c:pt>
                <c:pt idx="114">
                  <c:v>297.5</c:v>
                </c:pt>
                <c:pt idx="115">
                  <c:v>287.5</c:v>
                </c:pt>
                <c:pt idx="116">
                  <c:v>287.5</c:v>
                </c:pt>
                <c:pt idx="117">
                  <c:v>477.5</c:v>
                </c:pt>
                <c:pt idx="118">
                  <c:v>477.5</c:v>
                </c:pt>
                <c:pt idx="119">
                  <c:v>410</c:v>
                </c:pt>
                <c:pt idx="120">
                  <c:v>390</c:v>
                </c:pt>
                <c:pt idx="121">
                  <c:v>310</c:v>
                </c:pt>
                <c:pt idx="122">
                  <c:v>260</c:v>
                </c:pt>
                <c:pt idx="123">
                  <c:v>260</c:v>
                </c:pt>
                <c:pt idx="124">
                  <c:v>260</c:v>
                </c:pt>
                <c:pt idx="125">
                  <c:v>250</c:v>
                </c:pt>
                <c:pt idx="126">
                  <c:v>250</c:v>
                </c:pt>
                <c:pt idx="127">
                  <c:v>240</c:v>
                </c:pt>
                <c:pt idx="128">
                  <c:v>230</c:v>
                </c:pt>
                <c:pt idx="129">
                  <c:v>220</c:v>
                </c:pt>
                <c:pt idx="130">
                  <c:v>220</c:v>
                </c:pt>
                <c:pt idx="131">
                  <c:v>210</c:v>
                </c:pt>
                <c:pt idx="132">
                  <c:v>200</c:v>
                </c:pt>
                <c:pt idx="133">
                  <c:v>190</c:v>
                </c:pt>
                <c:pt idx="134">
                  <c:v>195</c:v>
                </c:pt>
                <c:pt idx="135">
                  <c:v>195</c:v>
                </c:pt>
                <c:pt idx="136">
                  <c:v>190</c:v>
                </c:pt>
                <c:pt idx="137">
                  <c:v>190</c:v>
                </c:pt>
                <c:pt idx="138">
                  <c:v>190</c:v>
                </c:pt>
                <c:pt idx="139">
                  <c:v>190</c:v>
                </c:pt>
                <c:pt idx="140">
                  <c:v>190</c:v>
                </c:pt>
                <c:pt idx="141">
                  <c:v>175</c:v>
                </c:pt>
                <c:pt idx="142">
                  <c:v>175</c:v>
                </c:pt>
                <c:pt idx="143">
                  <c:v>175</c:v>
                </c:pt>
                <c:pt idx="144">
                  <c:v>175</c:v>
                </c:pt>
                <c:pt idx="145">
                  <c:v>172.5</c:v>
                </c:pt>
                <c:pt idx="146">
                  <c:v>162.5</c:v>
                </c:pt>
                <c:pt idx="147">
                  <c:v>162.5</c:v>
                </c:pt>
                <c:pt idx="148">
                  <c:v>162.5</c:v>
                </c:pt>
                <c:pt idx="149">
                  <c:v>162.5</c:v>
                </c:pt>
                <c:pt idx="150">
                  <c:v>137.5</c:v>
                </c:pt>
                <c:pt idx="151">
                  <c:v>137.5</c:v>
                </c:pt>
                <c:pt idx="152">
                  <c:v>132.5</c:v>
                </c:pt>
                <c:pt idx="153">
                  <c:v>132.5</c:v>
                </c:pt>
                <c:pt idx="154">
                  <c:v>132.5</c:v>
                </c:pt>
                <c:pt idx="155">
                  <c:v>132.5</c:v>
                </c:pt>
                <c:pt idx="156">
                  <c:v>132.5</c:v>
                </c:pt>
                <c:pt idx="157">
                  <c:v>132.5</c:v>
                </c:pt>
                <c:pt idx="158">
                  <c:v>132.5</c:v>
                </c:pt>
                <c:pt idx="159">
                  <c:v>98.5</c:v>
                </c:pt>
                <c:pt idx="160">
                  <c:v>98.5</c:v>
                </c:pt>
                <c:pt idx="161">
                  <c:v>116</c:v>
                </c:pt>
                <c:pt idx="162">
                  <c:v>132.5</c:v>
                </c:pt>
                <c:pt idx="163">
                  <c:v>132.5</c:v>
                </c:pt>
                <c:pt idx="164">
                  <c:v>132.5</c:v>
                </c:pt>
                <c:pt idx="165">
                  <c:v>162.5</c:v>
                </c:pt>
                <c:pt idx="166">
                  <c:v>162.5</c:v>
                </c:pt>
                <c:pt idx="167">
                  <c:v>142.5</c:v>
                </c:pt>
                <c:pt idx="168">
                  <c:v>142.5</c:v>
                </c:pt>
                <c:pt idx="169">
                  <c:v>137.5</c:v>
                </c:pt>
                <c:pt idx="170">
                  <c:v>136.5</c:v>
                </c:pt>
                <c:pt idx="171">
                  <c:v>136.5</c:v>
                </c:pt>
                <c:pt idx="172">
                  <c:v>136.5</c:v>
                </c:pt>
                <c:pt idx="173">
                  <c:v>136.5</c:v>
                </c:pt>
                <c:pt idx="174">
                  <c:v>136.5</c:v>
                </c:pt>
                <c:pt idx="175">
                  <c:v>152.5</c:v>
                </c:pt>
                <c:pt idx="176">
                  <c:v>152.5</c:v>
                </c:pt>
                <c:pt idx="177">
                  <c:v>152.5</c:v>
                </c:pt>
                <c:pt idx="178">
                  <c:v>157.5</c:v>
                </c:pt>
                <c:pt idx="179">
                  <c:v>179</c:v>
                </c:pt>
                <c:pt idx="180">
                  <c:v>179</c:v>
                </c:pt>
                <c:pt idx="181">
                  <c:v>179</c:v>
                </c:pt>
                <c:pt idx="182">
                  <c:v>187.5</c:v>
                </c:pt>
                <c:pt idx="183">
                  <c:v>177.5</c:v>
                </c:pt>
                <c:pt idx="184">
                  <c:v>177.5</c:v>
                </c:pt>
                <c:pt idx="185">
                  <c:v>187.5</c:v>
                </c:pt>
                <c:pt idx="186">
                  <c:v>197.5</c:v>
                </c:pt>
                <c:pt idx="187">
                  <c:v>197.5</c:v>
                </c:pt>
                <c:pt idx="188">
                  <c:v>197.5</c:v>
                </c:pt>
                <c:pt idx="189">
                  <c:v>197.5</c:v>
                </c:pt>
                <c:pt idx="190">
                  <c:v>202.5</c:v>
                </c:pt>
                <c:pt idx="191">
                  <c:v>202.5</c:v>
                </c:pt>
                <c:pt idx="192">
                  <c:v>202.5</c:v>
                </c:pt>
                <c:pt idx="193">
                  <c:v>197.5</c:v>
                </c:pt>
                <c:pt idx="194">
                  <c:v>187.5</c:v>
                </c:pt>
                <c:pt idx="195">
                  <c:v>187.5</c:v>
                </c:pt>
                <c:pt idx="196">
                  <c:v>187.5</c:v>
                </c:pt>
                <c:pt idx="197">
                  <c:v>182.5</c:v>
                </c:pt>
                <c:pt idx="198">
                  <c:v>177.5</c:v>
                </c:pt>
                <c:pt idx="199">
                  <c:v>172.5</c:v>
                </c:pt>
                <c:pt idx="200">
                  <c:v>172.5</c:v>
                </c:pt>
                <c:pt idx="201">
                  <c:v>152.5</c:v>
                </c:pt>
                <c:pt idx="202">
                  <c:v>152.5</c:v>
                </c:pt>
                <c:pt idx="203">
                  <c:v>152.5</c:v>
                </c:pt>
                <c:pt idx="204">
                  <c:v>152.5</c:v>
                </c:pt>
                <c:pt idx="205">
                  <c:v>152.5</c:v>
                </c:pt>
                <c:pt idx="206">
                  <c:v>152.5</c:v>
                </c:pt>
                <c:pt idx="207">
                  <c:v>147.5</c:v>
                </c:pt>
                <c:pt idx="208">
                  <c:v>147.5</c:v>
                </c:pt>
                <c:pt idx="209">
                  <c:v>147.5</c:v>
                </c:pt>
                <c:pt idx="210">
                  <c:v>157.5</c:v>
                </c:pt>
                <c:pt idx="211">
                  <c:v>162.5</c:v>
                </c:pt>
                <c:pt idx="212">
                  <c:v>179.5</c:v>
                </c:pt>
                <c:pt idx="213">
                  <c:v>177.5</c:v>
                </c:pt>
                <c:pt idx="214">
                  <c:v>202.5</c:v>
                </c:pt>
                <c:pt idx="215">
                  <c:v>202.5</c:v>
                </c:pt>
                <c:pt idx="216">
                  <c:v>222.5</c:v>
                </c:pt>
                <c:pt idx="217">
                  <c:v>222.5</c:v>
                </c:pt>
                <c:pt idx="218">
                  <c:v>228.5</c:v>
                </c:pt>
                <c:pt idx="219">
                  <c:v>228.5</c:v>
                </c:pt>
                <c:pt idx="220">
                  <c:v>228.5</c:v>
                </c:pt>
                <c:pt idx="221">
                  <c:v>265</c:v>
                </c:pt>
                <c:pt idx="222">
                  <c:v>265</c:v>
                </c:pt>
                <c:pt idx="223">
                  <c:v>265</c:v>
                </c:pt>
                <c:pt idx="224">
                  <c:v>272.5</c:v>
                </c:pt>
                <c:pt idx="225">
                  <c:v>257.5</c:v>
                </c:pt>
                <c:pt idx="226">
                  <c:v>260</c:v>
                </c:pt>
                <c:pt idx="227">
                  <c:v>260</c:v>
                </c:pt>
                <c:pt idx="228">
                  <c:v>260</c:v>
                </c:pt>
                <c:pt idx="229">
                  <c:v>275</c:v>
                </c:pt>
                <c:pt idx="230">
                  <c:v>275</c:v>
                </c:pt>
                <c:pt idx="231">
                  <c:v>275</c:v>
                </c:pt>
                <c:pt idx="232">
                  <c:v>267.5</c:v>
                </c:pt>
                <c:pt idx="233">
                  <c:v>262.5</c:v>
                </c:pt>
                <c:pt idx="234">
                  <c:v>262.5</c:v>
                </c:pt>
                <c:pt idx="235">
                  <c:v>262.5</c:v>
                </c:pt>
                <c:pt idx="236">
                  <c:v>262.5</c:v>
                </c:pt>
                <c:pt idx="237">
                  <c:v>272.5</c:v>
                </c:pt>
                <c:pt idx="238">
                  <c:v>272.5</c:v>
                </c:pt>
                <c:pt idx="239">
                  <c:v>272.5</c:v>
                </c:pt>
                <c:pt idx="240">
                  <c:v>272.5</c:v>
                </c:pt>
                <c:pt idx="241">
                  <c:v>287.5</c:v>
                </c:pt>
                <c:pt idx="242">
                  <c:v>287.5</c:v>
                </c:pt>
                <c:pt idx="243">
                  <c:v>292.5</c:v>
                </c:pt>
                <c:pt idx="244">
                  <c:v>292.5</c:v>
                </c:pt>
                <c:pt idx="245">
                  <c:v>287.5</c:v>
                </c:pt>
                <c:pt idx="246">
                  <c:v>287.5</c:v>
                </c:pt>
                <c:pt idx="247">
                  <c:v>287.5</c:v>
                </c:pt>
                <c:pt idx="248">
                  <c:v>287.5</c:v>
                </c:pt>
                <c:pt idx="249">
                  <c:v>272.5</c:v>
                </c:pt>
                <c:pt idx="250">
                  <c:v>272.5</c:v>
                </c:pt>
                <c:pt idx="251">
                  <c:v>272.5</c:v>
                </c:pt>
                <c:pt idx="252">
                  <c:v>272.5</c:v>
                </c:pt>
                <c:pt idx="253">
                  <c:v>287.5</c:v>
                </c:pt>
                <c:pt idx="254">
                  <c:v>287.5</c:v>
                </c:pt>
                <c:pt idx="255">
                  <c:v>282.5</c:v>
                </c:pt>
                <c:pt idx="256">
                  <c:v>312.5</c:v>
                </c:pt>
                <c:pt idx="257">
                  <c:v>307.5</c:v>
                </c:pt>
                <c:pt idx="258">
                  <c:v>307.5</c:v>
                </c:pt>
                <c:pt idx="259">
                  <c:v>350</c:v>
                </c:pt>
                <c:pt idx="260">
                  <c:v>350</c:v>
                </c:pt>
                <c:pt idx="261">
                  <c:v>350</c:v>
                </c:pt>
                <c:pt idx="262">
                  <c:v>350</c:v>
                </c:pt>
                <c:pt idx="263">
                  <c:v>330</c:v>
                </c:pt>
                <c:pt idx="264">
                  <c:v>332.5</c:v>
                </c:pt>
                <c:pt idx="265">
                  <c:v>340</c:v>
                </c:pt>
                <c:pt idx="266">
                  <c:v>340</c:v>
                </c:pt>
                <c:pt idx="267">
                  <c:v>340</c:v>
                </c:pt>
                <c:pt idx="268">
                  <c:v>340</c:v>
                </c:pt>
                <c:pt idx="269">
                  <c:v>337</c:v>
                </c:pt>
                <c:pt idx="270">
                  <c:v>337</c:v>
                </c:pt>
                <c:pt idx="271">
                  <c:v>347</c:v>
                </c:pt>
                <c:pt idx="272">
                  <c:v>347</c:v>
                </c:pt>
                <c:pt idx="273">
                  <c:v>347</c:v>
                </c:pt>
                <c:pt idx="274">
                  <c:v>347</c:v>
                </c:pt>
                <c:pt idx="275">
                  <c:v>347</c:v>
                </c:pt>
                <c:pt idx="276">
                  <c:v>347</c:v>
                </c:pt>
                <c:pt idx="277">
                  <c:v>347</c:v>
                </c:pt>
                <c:pt idx="278">
                  <c:v>347</c:v>
                </c:pt>
                <c:pt idx="279">
                  <c:v>327.5</c:v>
                </c:pt>
                <c:pt idx="280">
                  <c:v>327.5</c:v>
                </c:pt>
                <c:pt idx="281">
                  <c:v>319</c:v>
                </c:pt>
                <c:pt idx="282">
                  <c:v>297.5</c:v>
                </c:pt>
                <c:pt idx="283">
                  <c:v>265</c:v>
                </c:pt>
                <c:pt idx="284">
                  <c:v>265</c:v>
                </c:pt>
                <c:pt idx="285">
                  <c:v>252.5</c:v>
                </c:pt>
                <c:pt idx="286">
                  <c:v>252.5</c:v>
                </c:pt>
                <c:pt idx="287">
                  <c:v>262.5</c:v>
                </c:pt>
                <c:pt idx="288">
                  <c:v>262.5</c:v>
                </c:pt>
                <c:pt idx="289">
                  <c:v>257.5</c:v>
                </c:pt>
                <c:pt idx="290">
                  <c:v>257.5</c:v>
                </c:pt>
                <c:pt idx="291">
                  <c:v>250</c:v>
                </c:pt>
                <c:pt idx="292">
                  <c:v>240</c:v>
                </c:pt>
                <c:pt idx="293">
                  <c:v>242.5</c:v>
                </c:pt>
                <c:pt idx="294">
                  <c:v>255</c:v>
                </c:pt>
                <c:pt idx="295">
                  <c:v>265</c:v>
                </c:pt>
                <c:pt idx="296">
                  <c:v>282.5</c:v>
                </c:pt>
                <c:pt idx="297">
                  <c:v>312.5</c:v>
                </c:pt>
                <c:pt idx="298">
                  <c:v>307.5</c:v>
                </c:pt>
                <c:pt idx="299">
                  <c:v>307.5</c:v>
                </c:pt>
                <c:pt idx="300">
                  <c:v>347.5</c:v>
                </c:pt>
                <c:pt idx="301">
                  <c:v>342.5</c:v>
                </c:pt>
                <c:pt idx="302">
                  <c:v>342.5</c:v>
                </c:pt>
                <c:pt idx="303">
                  <c:v>342.5</c:v>
                </c:pt>
                <c:pt idx="304">
                  <c:v>282.5</c:v>
                </c:pt>
                <c:pt idx="305">
                  <c:v>288.5</c:v>
                </c:pt>
                <c:pt idx="306">
                  <c:v>272.5</c:v>
                </c:pt>
                <c:pt idx="307">
                  <c:v>272.5</c:v>
                </c:pt>
                <c:pt idx="308">
                  <c:v>267.5</c:v>
                </c:pt>
                <c:pt idx="309">
                  <c:v>250</c:v>
                </c:pt>
                <c:pt idx="310">
                  <c:v>250</c:v>
                </c:pt>
                <c:pt idx="311">
                  <c:v>272.5</c:v>
                </c:pt>
                <c:pt idx="312">
                  <c:v>272.5</c:v>
                </c:pt>
                <c:pt idx="313">
                  <c:v>277.5</c:v>
                </c:pt>
                <c:pt idx="314">
                  <c:v>292.5</c:v>
                </c:pt>
                <c:pt idx="315">
                  <c:v>307.5</c:v>
                </c:pt>
                <c:pt idx="316">
                  <c:v>307.5</c:v>
                </c:pt>
                <c:pt idx="317">
                  <c:v>307.5</c:v>
                </c:pt>
                <c:pt idx="318">
                  <c:v>307.5</c:v>
                </c:pt>
                <c:pt idx="319">
                  <c:v>307.5</c:v>
                </c:pt>
                <c:pt idx="320">
                  <c:v>295.5</c:v>
                </c:pt>
                <c:pt idx="321">
                  <c:v>282.5</c:v>
                </c:pt>
                <c:pt idx="322">
                  <c:v>282.5</c:v>
                </c:pt>
                <c:pt idx="323">
                  <c:v>292.5</c:v>
                </c:pt>
                <c:pt idx="324">
                  <c:v>292.5</c:v>
                </c:pt>
                <c:pt idx="325">
                  <c:v>297.5</c:v>
                </c:pt>
                <c:pt idx="326">
                  <c:v>297.5</c:v>
                </c:pt>
                <c:pt idx="327">
                  <c:v>297.5</c:v>
                </c:pt>
                <c:pt idx="328">
                  <c:v>297.5</c:v>
                </c:pt>
                <c:pt idx="329">
                  <c:v>292.5</c:v>
                </c:pt>
                <c:pt idx="330">
                  <c:v>292.5</c:v>
                </c:pt>
                <c:pt idx="331">
                  <c:v>290</c:v>
                </c:pt>
                <c:pt idx="332">
                  <c:v>282.5</c:v>
                </c:pt>
                <c:pt idx="333">
                  <c:v>295</c:v>
                </c:pt>
                <c:pt idx="334">
                  <c:v>300</c:v>
                </c:pt>
                <c:pt idx="335">
                  <c:v>310</c:v>
                </c:pt>
                <c:pt idx="336">
                  <c:v>312.5</c:v>
                </c:pt>
                <c:pt idx="337">
                  <c:v>277.5</c:v>
                </c:pt>
                <c:pt idx="338">
                  <c:v>277.5</c:v>
                </c:pt>
                <c:pt idx="339">
                  <c:v>282.5</c:v>
                </c:pt>
                <c:pt idx="340">
                  <c:v>302.5</c:v>
                </c:pt>
                <c:pt idx="341">
                  <c:v>302.5</c:v>
                </c:pt>
                <c:pt idx="342">
                  <c:v>317.5</c:v>
                </c:pt>
                <c:pt idx="343">
                  <c:v>332.5</c:v>
                </c:pt>
                <c:pt idx="344">
                  <c:v>332.5</c:v>
                </c:pt>
                <c:pt idx="345">
                  <c:v>332.5</c:v>
                </c:pt>
                <c:pt idx="346">
                  <c:v>327.5</c:v>
                </c:pt>
                <c:pt idx="347">
                  <c:v>327.5</c:v>
                </c:pt>
                <c:pt idx="348">
                  <c:v>312.5</c:v>
                </c:pt>
                <c:pt idx="349">
                  <c:v>300</c:v>
                </c:pt>
                <c:pt idx="350">
                  <c:v>300</c:v>
                </c:pt>
                <c:pt idx="351">
                  <c:v>297.5</c:v>
                </c:pt>
                <c:pt idx="352">
                  <c:v>295</c:v>
                </c:pt>
                <c:pt idx="353">
                  <c:v>295</c:v>
                </c:pt>
                <c:pt idx="354">
                  <c:v>270.5</c:v>
                </c:pt>
                <c:pt idx="355">
                  <c:v>267.5</c:v>
                </c:pt>
                <c:pt idx="356">
                  <c:v>267.5</c:v>
                </c:pt>
                <c:pt idx="357">
                  <c:v>267.5</c:v>
                </c:pt>
                <c:pt idx="358">
                  <c:v>235</c:v>
                </c:pt>
                <c:pt idx="359">
                  <c:v>237.5</c:v>
                </c:pt>
                <c:pt idx="360">
                  <c:v>240</c:v>
                </c:pt>
                <c:pt idx="361">
                  <c:v>237.5</c:v>
                </c:pt>
                <c:pt idx="362">
                  <c:v>240</c:v>
                </c:pt>
                <c:pt idx="363">
                  <c:v>240</c:v>
                </c:pt>
                <c:pt idx="364">
                  <c:v>240</c:v>
                </c:pt>
                <c:pt idx="365">
                  <c:v>240</c:v>
                </c:pt>
                <c:pt idx="366">
                  <c:v>240</c:v>
                </c:pt>
                <c:pt idx="367">
                  <c:v>237.5</c:v>
                </c:pt>
                <c:pt idx="368">
                  <c:v>237.5</c:v>
                </c:pt>
                <c:pt idx="369">
                  <c:v>232.5</c:v>
                </c:pt>
                <c:pt idx="370">
                  <c:v>227.5</c:v>
                </c:pt>
                <c:pt idx="371">
                  <c:v>212.5</c:v>
                </c:pt>
                <c:pt idx="372">
                  <c:v>212.5</c:v>
                </c:pt>
                <c:pt idx="373">
                  <c:v>212.5</c:v>
                </c:pt>
                <c:pt idx="374">
                  <c:v>212.5</c:v>
                </c:pt>
                <c:pt idx="375">
                  <c:v>212.5</c:v>
                </c:pt>
                <c:pt idx="376">
                  <c:v>212.5</c:v>
                </c:pt>
                <c:pt idx="377">
                  <c:v>212.5</c:v>
                </c:pt>
                <c:pt idx="378">
                  <c:v>213.5</c:v>
                </c:pt>
                <c:pt idx="379">
                  <c:v>213.5</c:v>
                </c:pt>
                <c:pt idx="380">
                  <c:v>216.75</c:v>
                </c:pt>
                <c:pt idx="381">
                  <c:v>214.5</c:v>
                </c:pt>
                <c:pt idx="382">
                  <c:v>214.5</c:v>
                </c:pt>
                <c:pt idx="383">
                  <c:v>214.5</c:v>
                </c:pt>
                <c:pt idx="384">
                  <c:v>214</c:v>
                </c:pt>
                <c:pt idx="385">
                  <c:v>214</c:v>
                </c:pt>
                <c:pt idx="386">
                  <c:v>235</c:v>
                </c:pt>
                <c:pt idx="387">
                  <c:v>235</c:v>
                </c:pt>
                <c:pt idx="388" formatCode="0.0">
                  <c:v>252.5</c:v>
                </c:pt>
                <c:pt idx="389" formatCode="0.0">
                  <c:v>252.5</c:v>
                </c:pt>
                <c:pt idx="390" formatCode="0.0">
                  <c:v>263</c:v>
                </c:pt>
                <c:pt idx="391" formatCode="0.0">
                  <c:v>263</c:v>
                </c:pt>
                <c:pt idx="392" formatCode="0.0">
                  <c:v>282</c:v>
                </c:pt>
                <c:pt idx="393" formatCode="0.0">
                  <c:v>282</c:v>
                </c:pt>
                <c:pt idx="394" formatCode="0.0">
                  <c:v>282.5</c:v>
                </c:pt>
                <c:pt idx="395" formatCode="0.0">
                  <c:v>282.5</c:v>
                </c:pt>
                <c:pt idx="396" formatCode="0.0">
                  <c:v>282.5</c:v>
                </c:pt>
                <c:pt idx="397" formatCode="0.0">
                  <c:v>280</c:v>
                </c:pt>
                <c:pt idx="398" formatCode="0.0">
                  <c:v>280</c:v>
                </c:pt>
                <c:pt idx="399" formatCode="0.0">
                  <c:v>272.5</c:v>
                </c:pt>
                <c:pt idx="400" formatCode="0.0">
                  <c:v>267.5</c:v>
                </c:pt>
                <c:pt idx="401" formatCode="0.0">
                  <c:v>267.5</c:v>
                </c:pt>
                <c:pt idx="402" formatCode="0.0">
                  <c:v>267.5</c:v>
                </c:pt>
                <c:pt idx="403" formatCode="0.0">
                  <c:v>267.5</c:v>
                </c:pt>
                <c:pt idx="404" formatCode="0.0">
                  <c:v>245</c:v>
                </c:pt>
                <c:pt idx="405" formatCode="0.0">
                  <c:v>250</c:v>
                </c:pt>
                <c:pt idx="406" formatCode="0.0">
                  <c:v>250</c:v>
                </c:pt>
                <c:pt idx="407" formatCode="0.0">
                  <c:v>237.5</c:v>
                </c:pt>
                <c:pt idx="408" formatCode="0.0">
                  <c:v>230</c:v>
                </c:pt>
                <c:pt idx="409" formatCode="0.0">
                  <c:v>230</c:v>
                </c:pt>
                <c:pt idx="410" formatCode="0.0">
                  <c:v>202.5</c:v>
                </c:pt>
                <c:pt idx="411" formatCode="0.0">
                  <c:v>217.5</c:v>
                </c:pt>
                <c:pt idx="412" formatCode="0.0">
                  <c:v>218.5</c:v>
                </c:pt>
                <c:pt idx="413" formatCode="0.0">
                  <c:v>218.5</c:v>
                </c:pt>
                <c:pt idx="414">
                  <c:v>218.5</c:v>
                </c:pt>
                <c:pt idx="415">
                  <c:v>218.5</c:v>
                </c:pt>
                <c:pt idx="416">
                  <c:v>223.5</c:v>
                </c:pt>
                <c:pt idx="417">
                  <c:v>227.5</c:v>
                </c:pt>
                <c:pt idx="418">
                  <c:v>228.5</c:v>
                </c:pt>
                <c:pt idx="419">
                  <c:v>228.5</c:v>
                </c:pt>
                <c:pt idx="420">
                  <c:v>228.5</c:v>
                </c:pt>
                <c:pt idx="421">
                  <c:v>219</c:v>
                </c:pt>
                <c:pt idx="422">
                  <c:v>226</c:v>
                </c:pt>
                <c:pt idx="423">
                  <c:v>226</c:v>
                </c:pt>
                <c:pt idx="424">
                  <c:v>226</c:v>
                </c:pt>
                <c:pt idx="425">
                  <c:v>232.5</c:v>
                </c:pt>
                <c:pt idx="426">
                  <c:v>232.5</c:v>
                </c:pt>
                <c:pt idx="427">
                  <c:v>232.5</c:v>
                </c:pt>
                <c:pt idx="428">
                  <c:v>232.5</c:v>
                </c:pt>
                <c:pt idx="429">
                  <c:v>233</c:v>
                </c:pt>
                <c:pt idx="430">
                  <c:v>221.5</c:v>
                </c:pt>
                <c:pt idx="431">
                  <c:v>227.5</c:v>
                </c:pt>
                <c:pt idx="432">
                  <c:v>227.5</c:v>
                </c:pt>
                <c:pt idx="433">
                  <c:v>227.5</c:v>
                </c:pt>
                <c:pt idx="434">
                  <c:v>233.5</c:v>
                </c:pt>
                <c:pt idx="435">
                  <c:v>233.5</c:v>
                </c:pt>
                <c:pt idx="436">
                  <c:v>233.5</c:v>
                </c:pt>
                <c:pt idx="437">
                  <c:v>241</c:v>
                </c:pt>
                <c:pt idx="438">
                  <c:v>248.5</c:v>
                </c:pt>
                <c:pt idx="439">
                  <c:v>252.5</c:v>
                </c:pt>
                <c:pt idx="440">
                  <c:v>252.5</c:v>
                </c:pt>
                <c:pt idx="441">
                  <c:v>257</c:v>
                </c:pt>
                <c:pt idx="442">
                  <c:v>257</c:v>
                </c:pt>
                <c:pt idx="443">
                  <c:v>257</c:v>
                </c:pt>
                <c:pt idx="444">
                  <c:v>257</c:v>
                </c:pt>
                <c:pt idx="445">
                  <c:v>257</c:v>
                </c:pt>
                <c:pt idx="446">
                  <c:v>250.5</c:v>
                </c:pt>
                <c:pt idx="447">
                  <c:v>249</c:v>
                </c:pt>
                <c:pt idx="448">
                  <c:v>249</c:v>
                </c:pt>
                <c:pt idx="449">
                  <c:v>245</c:v>
                </c:pt>
                <c:pt idx="450">
                  <c:v>245</c:v>
                </c:pt>
                <c:pt idx="451">
                  <c:v>234.5</c:v>
                </c:pt>
                <c:pt idx="452">
                  <c:v>228</c:v>
                </c:pt>
                <c:pt idx="453">
                  <c:v>228</c:v>
                </c:pt>
                <c:pt idx="454">
                  <c:v>212.5</c:v>
                </c:pt>
                <c:pt idx="455">
                  <c:v>202.5</c:v>
                </c:pt>
                <c:pt idx="456">
                  <c:v>191</c:v>
                </c:pt>
                <c:pt idx="457">
                  <c:v>207</c:v>
                </c:pt>
                <c:pt idx="458">
                  <c:v>200.5</c:v>
                </c:pt>
                <c:pt idx="459">
                  <c:v>180</c:v>
                </c:pt>
                <c:pt idx="460">
                  <c:v>182.5</c:v>
                </c:pt>
                <c:pt idx="461">
                  <c:v>182.5</c:v>
                </c:pt>
                <c:pt idx="462">
                  <c:v>182.5</c:v>
                </c:pt>
                <c:pt idx="463">
                  <c:v>192.5</c:v>
                </c:pt>
                <c:pt idx="464">
                  <c:v>192.5</c:v>
                </c:pt>
                <c:pt idx="465">
                  <c:v>192.5</c:v>
                </c:pt>
                <c:pt idx="466">
                  <c:v>192.5</c:v>
                </c:pt>
                <c:pt idx="467">
                  <c:v>192.5</c:v>
                </c:pt>
                <c:pt idx="468">
                  <c:v>187.5</c:v>
                </c:pt>
                <c:pt idx="469">
                  <c:v>187.5</c:v>
                </c:pt>
                <c:pt idx="470">
                  <c:v>182.5</c:v>
                </c:pt>
                <c:pt idx="471">
                  <c:v>177.5</c:v>
                </c:pt>
                <c:pt idx="472">
                  <c:v>180</c:v>
                </c:pt>
                <c:pt idx="473">
                  <c:v>179</c:v>
                </c:pt>
                <c:pt idx="474">
                  <c:v>175</c:v>
                </c:pt>
                <c:pt idx="475">
                  <c:v>175</c:v>
                </c:pt>
                <c:pt idx="476">
                  <c:v>181</c:v>
                </c:pt>
                <c:pt idx="477">
                  <c:v>178.5</c:v>
                </c:pt>
                <c:pt idx="478">
                  <c:v>172.5</c:v>
                </c:pt>
                <c:pt idx="479">
                  <c:v>171</c:v>
                </c:pt>
                <c:pt idx="480">
                  <c:v>166</c:v>
                </c:pt>
                <c:pt idx="481">
                  <c:v>166</c:v>
                </c:pt>
                <c:pt idx="482">
                  <c:v>166</c:v>
                </c:pt>
                <c:pt idx="483">
                  <c:v>166</c:v>
                </c:pt>
                <c:pt idx="484">
                  <c:v>164.5</c:v>
                </c:pt>
                <c:pt idx="485">
                  <c:v>158.5</c:v>
                </c:pt>
                <c:pt idx="486">
                  <c:v>158.5</c:v>
                </c:pt>
                <c:pt idx="487">
                  <c:v>158.5</c:v>
                </c:pt>
                <c:pt idx="488">
                  <c:v>158.5</c:v>
                </c:pt>
                <c:pt idx="489">
                  <c:v>156</c:v>
                </c:pt>
                <c:pt idx="490">
                  <c:v>147</c:v>
                </c:pt>
                <c:pt idx="491">
                  <c:v>146</c:v>
                </c:pt>
                <c:pt idx="492">
                  <c:v>141.5</c:v>
                </c:pt>
                <c:pt idx="493">
                  <c:v>141.5</c:v>
                </c:pt>
                <c:pt idx="494">
                  <c:v>131</c:v>
                </c:pt>
                <c:pt idx="495">
                  <c:v>130.5</c:v>
                </c:pt>
                <c:pt idx="496">
                  <c:v>127</c:v>
                </c:pt>
                <c:pt idx="497">
                  <c:v>133.5</c:v>
                </c:pt>
                <c:pt idx="498">
                  <c:v>151</c:v>
                </c:pt>
                <c:pt idx="499">
                  <c:v>158.5</c:v>
                </c:pt>
                <c:pt idx="500">
                  <c:v>171.5</c:v>
                </c:pt>
                <c:pt idx="501">
                  <c:v>181</c:v>
                </c:pt>
                <c:pt idx="502">
                  <c:v>184.5</c:v>
                </c:pt>
                <c:pt idx="503">
                  <c:v>183.5</c:v>
                </c:pt>
                <c:pt idx="504">
                  <c:v>183.5</c:v>
                </c:pt>
                <c:pt idx="505">
                  <c:v>173.5</c:v>
                </c:pt>
                <c:pt idx="506">
                  <c:v>173.5</c:v>
                </c:pt>
                <c:pt idx="507">
                  <c:v>160.5</c:v>
                </c:pt>
                <c:pt idx="508">
                  <c:v>160.5</c:v>
                </c:pt>
                <c:pt idx="509">
                  <c:v>174</c:v>
                </c:pt>
                <c:pt idx="510">
                  <c:v>123</c:v>
                </c:pt>
                <c:pt idx="511">
                  <c:v>117.5</c:v>
                </c:pt>
                <c:pt idx="512">
                  <c:v>117.5</c:v>
                </c:pt>
                <c:pt idx="513">
                  <c:v>117.5</c:v>
                </c:pt>
                <c:pt idx="514">
                  <c:v>117.5</c:v>
                </c:pt>
                <c:pt idx="515">
                  <c:v>117.5</c:v>
                </c:pt>
                <c:pt idx="516">
                  <c:v>117.5</c:v>
                </c:pt>
                <c:pt idx="517">
                  <c:v>120.5</c:v>
                </c:pt>
                <c:pt idx="518">
                  <c:v>120</c:v>
                </c:pt>
                <c:pt idx="519">
                  <c:v>124.5</c:v>
                </c:pt>
                <c:pt idx="520">
                  <c:v>124.5</c:v>
                </c:pt>
                <c:pt idx="521">
                  <c:v>131.5</c:v>
                </c:pt>
                <c:pt idx="522">
                  <c:v>130</c:v>
                </c:pt>
                <c:pt idx="523">
                  <c:v>130</c:v>
                </c:pt>
                <c:pt idx="524">
                  <c:v>130</c:v>
                </c:pt>
                <c:pt idx="525">
                  <c:v>130</c:v>
                </c:pt>
                <c:pt idx="526">
                  <c:v>127.5</c:v>
                </c:pt>
                <c:pt idx="527">
                  <c:v>127</c:v>
                </c:pt>
                <c:pt idx="528">
                  <c:v>124.5</c:v>
                </c:pt>
                <c:pt idx="529">
                  <c:v>124.5</c:v>
                </c:pt>
                <c:pt idx="530">
                  <c:v>122.5</c:v>
                </c:pt>
                <c:pt idx="531">
                  <c:v>122.5</c:v>
                </c:pt>
                <c:pt idx="532">
                  <c:v>125</c:v>
                </c:pt>
                <c:pt idx="533">
                  <c:v>121.5</c:v>
                </c:pt>
                <c:pt idx="534">
                  <c:v>127.5</c:v>
                </c:pt>
                <c:pt idx="535">
                  <c:v>129</c:v>
                </c:pt>
                <c:pt idx="536">
                  <c:v>135.5</c:v>
                </c:pt>
                <c:pt idx="537">
                  <c:v>137.5</c:v>
                </c:pt>
                <c:pt idx="538">
                  <c:v>141</c:v>
                </c:pt>
                <c:pt idx="539">
                  <c:v>142</c:v>
                </c:pt>
                <c:pt idx="540">
                  <c:v>144</c:v>
                </c:pt>
                <c:pt idx="541">
                  <c:v>149</c:v>
                </c:pt>
                <c:pt idx="542">
                  <c:v>147.5</c:v>
                </c:pt>
                <c:pt idx="543">
                  <c:v>151.5</c:v>
                </c:pt>
                <c:pt idx="544">
                  <c:v>151.5</c:v>
                </c:pt>
                <c:pt idx="545">
                  <c:v>151.5</c:v>
                </c:pt>
                <c:pt idx="546">
                  <c:v>150</c:v>
                </c:pt>
                <c:pt idx="547">
                  <c:v>167.5</c:v>
                </c:pt>
                <c:pt idx="548">
                  <c:v>165.5</c:v>
                </c:pt>
                <c:pt idx="549">
                  <c:v>171.5</c:v>
                </c:pt>
                <c:pt idx="550">
                  <c:v>157</c:v>
                </c:pt>
                <c:pt idx="551">
                  <c:v>157</c:v>
                </c:pt>
              </c:numCache>
            </c:numRef>
          </c:yVal>
          <c:smooth val="0"/>
        </c:ser>
        <c:dLbls>
          <c:showLegendKey val="0"/>
          <c:showVal val="0"/>
          <c:showCatName val="0"/>
          <c:showSerName val="0"/>
          <c:showPercent val="0"/>
          <c:showBubbleSize val="0"/>
        </c:dLbls>
        <c:axId val="640999312"/>
        <c:axId val="640999704"/>
      </c:scatterChart>
      <c:valAx>
        <c:axId val="640999312"/>
        <c:scaling>
          <c:orientation val="minMax"/>
          <c:min val="200"/>
        </c:scaling>
        <c:delete val="0"/>
        <c:axPos val="b"/>
        <c:numFmt formatCode="_-* #\ ##0_-;\-* #\ ##0_-;_-* &quot;-&quot;??_-;_-@_-" sourceLinked="1"/>
        <c:majorTickMark val="out"/>
        <c:minorTickMark val="none"/>
        <c:tickLblPos val="nextTo"/>
        <c:crossAx val="640999704"/>
        <c:crosses val="autoZero"/>
        <c:crossBetween val="midCat"/>
      </c:valAx>
      <c:valAx>
        <c:axId val="640999704"/>
        <c:scaling>
          <c:orientation val="minMax"/>
          <c:min val="100"/>
        </c:scaling>
        <c:delete val="0"/>
        <c:axPos val="l"/>
        <c:numFmt formatCode="General" sourceLinked="1"/>
        <c:majorTickMark val="out"/>
        <c:minorTickMark val="none"/>
        <c:tickLblPos val="nextTo"/>
        <c:crossAx val="640999312"/>
        <c:crosses val="autoZero"/>
        <c:crossBetween val="midCat"/>
      </c:valAx>
    </c:plotArea>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Динамика </a:t>
            </a:r>
            <a:r>
              <a:rPr lang="en-US"/>
              <a:t>EBIT </a:t>
            </a:r>
            <a:r>
              <a:rPr lang="ru-RU"/>
              <a:t>маржи Акрона</a:t>
            </a:r>
          </a:p>
        </c:rich>
      </c:tx>
      <c:layout>
        <c:manualLayout>
          <c:xMode val="edge"/>
          <c:yMode val="edge"/>
          <c:x val="0.3004449486096239"/>
          <c:y val="2.7311986347986351E-2"/>
        </c:manualLayout>
      </c:layout>
      <c:overlay val="0"/>
    </c:title>
    <c:autoTitleDeleted val="0"/>
    <c:plotArea>
      <c:layout>
        <c:manualLayout>
          <c:layoutTarget val="inner"/>
          <c:xMode val="edge"/>
          <c:yMode val="edge"/>
          <c:x val="9.1849552015364933E-2"/>
          <c:y val="0.28245929711802842"/>
          <c:w val="0.75553201436108797"/>
          <c:h val="0.63784593036485304"/>
        </c:manualLayout>
      </c:layout>
      <c:lineChart>
        <c:grouping val="standard"/>
        <c:varyColors val="0"/>
        <c:ser>
          <c:idx val="0"/>
          <c:order val="0"/>
          <c:tx>
            <c:strRef>
              <c:f>model!$A$174</c:f>
              <c:strCache>
                <c:ptCount val="1"/>
                <c:pt idx="0">
                  <c:v>EBIT margin - текущий базовый сценарий</c:v>
                </c:pt>
              </c:strCache>
            </c:strRef>
          </c:tx>
          <c:marker>
            <c:symbol val="none"/>
          </c:marker>
          <c:cat>
            <c:numRef>
              <c:f>model!$B$1:$M$1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model!$B$174:$M$174</c:f>
              <c:numCache>
                <c:formatCode>0%</c:formatCode>
                <c:ptCount val="12"/>
                <c:pt idx="0">
                  <c:v>0.14297800338409475</c:v>
                </c:pt>
                <c:pt idx="1">
                  <c:v>0.19755472647997482</c:v>
                </c:pt>
                <c:pt idx="2">
                  <c:v>0.29020458576133767</c:v>
                </c:pt>
                <c:pt idx="3">
                  <c:v>0.26651158086376059</c:v>
                </c:pt>
                <c:pt idx="4">
                  <c:v>0.1978495275936851</c:v>
                </c:pt>
                <c:pt idx="5">
                  <c:v>0.23319063208259874</c:v>
                </c:pt>
                <c:pt idx="6">
                  <c:v>0.35509035640856634</c:v>
                </c:pt>
                <c:pt idx="7">
                  <c:v>0.30921934832439196</c:v>
                </c:pt>
                <c:pt idx="8">
                  <c:v>0.30461133309485539</c:v>
                </c:pt>
                <c:pt idx="9">
                  <c:v>0.30120545698806428</c:v>
                </c:pt>
                <c:pt idx="10">
                  <c:v>0.308076490601839</c:v>
                </c:pt>
                <c:pt idx="11">
                  <c:v>0.31647462868865511</c:v>
                </c:pt>
              </c:numCache>
            </c:numRef>
          </c:val>
          <c:smooth val="0"/>
        </c:ser>
        <c:ser>
          <c:idx val="1"/>
          <c:order val="1"/>
          <c:tx>
            <c:strRef>
              <c:f>model!$A$177</c:f>
              <c:strCache>
                <c:ptCount val="1"/>
                <c:pt idx="0">
                  <c:v>EBIT margin без учета пуска ГОК "Олений Ручей" и "Аммиак-4"</c:v>
                </c:pt>
              </c:strCache>
            </c:strRef>
          </c:tx>
          <c:spPr>
            <a:ln>
              <a:prstDash val="dash"/>
            </a:ln>
          </c:spPr>
          <c:marker>
            <c:symbol val="none"/>
          </c:marker>
          <c:cat>
            <c:numRef>
              <c:f>model!$B$1:$M$1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model!$B$177:$M$177</c:f>
              <c:numCache>
                <c:formatCode>General</c:formatCode>
                <c:ptCount val="12"/>
                <c:pt idx="6" formatCode="0%">
                  <c:v>0.35509035640856634</c:v>
                </c:pt>
                <c:pt idx="7" formatCode="0%">
                  <c:v>0.3</c:v>
                </c:pt>
                <c:pt idx="8" formatCode="0%">
                  <c:v>0.28000000000000003</c:v>
                </c:pt>
                <c:pt idx="9" formatCode="0%">
                  <c:v>0.26</c:v>
                </c:pt>
                <c:pt idx="10" formatCode="0%">
                  <c:v>0.27</c:v>
                </c:pt>
                <c:pt idx="11" formatCode="0%">
                  <c:v>0.28000000000000003</c:v>
                </c:pt>
              </c:numCache>
            </c:numRef>
          </c:val>
          <c:smooth val="0"/>
        </c:ser>
        <c:ser>
          <c:idx val="3"/>
          <c:order val="2"/>
          <c:tx>
            <c:strRef>
              <c:f>model!$A$179</c:f>
              <c:strCache>
                <c:ptCount val="1"/>
                <c:pt idx="0">
                  <c:v>EBIT margin без учета эффекта девальвации рубля</c:v>
                </c:pt>
              </c:strCache>
            </c:strRef>
          </c:tx>
          <c:spPr>
            <a:ln>
              <a:prstDash val="sysDot"/>
            </a:ln>
          </c:spPr>
          <c:marker>
            <c:symbol val="none"/>
          </c:marker>
          <c:cat>
            <c:numRef>
              <c:f>model!$B$1:$M$1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model!$B$179:$M$179</c:f>
              <c:numCache>
                <c:formatCode>General</c:formatCode>
                <c:ptCount val="12"/>
                <c:pt idx="5" formatCode="0%">
                  <c:v>0.23319063208259874</c:v>
                </c:pt>
                <c:pt idx="6" formatCode="0%">
                  <c:v>0.20445043432067914</c:v>
                </c:pt>
                <c:pt idx="7" formatCode="0%">
                  <c:v>0.17011690960945361</c:v>
                </c:pt>
                <c:pt idx="8" formatCode="0%">
                  <c:v>0.18147797651300196</c:v>
                </c:pt>
                <c:pt idx="9" formatCode="0%">
                  <c:v>0.16896872264359686</c:v>
                </c:pt>
                <c:pt idx="10" formatCode="0%">
                  <c:v>0.17412450496544687</c:v>
                </c:pt>
                <c:pt idx="11" formatCode="0%">
                  <c:v>0.17028977716695884</c:v>
                </c:pt>
              </c:numCache>
            </c:numRef>
          </c:val>
          <c:smooth val="0"/>
        </c:ser>
        <c:ser>
          <c:idx val="2"/>
          <c:order val="3"/>
          <c:tx>
            <c:strRef>
              <c:f>model!$A$175</c:f>
              <c:strCache>
                <c:ptCount val="1"/>
                <c:pt idx="0">
                  <c:v>Среднее 2010-2015</c:v>
                </c:pt>
              </c:strCache>
            </c:strRef>
          </c:tx>
          <c:spPr>
            <a:ln>
              <a:prstDash val="sysDash"/>
            </a:ln>
          </c:spPr>
          <c:marker>
            <c:symbol val="none"/>
          </c:marker>
          <c:cat>
            <c:numRef>
              <c:f>model!$B$1:$M$1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model!$B$175:$M$175</c:f>
              <c:numCache>
                <c:formatCode>0%</c:formatCode>
                <c:ptCount val="12"/>
                <c:pt idx="0">
                  <c:v>0.24048277322485972</c:v>
                </c:pt>
                <c:pt idx="1">
                  <c:v>0.24048277322485972</c:v>
                </c:pt>
                <c:pt idx="2">
                  <c:v>0.24048277322485972</c:v>
                </c:pt>
                <c:pt idx="3">
                  <c:v>0.24048277322485972</c:v>
                </c:pt>
                <c:pt idx="4">
                  <c:v>0.24048277322485972</c:v>
                </c:pt>
                <c:pt idx="5">
                  <c:v>0.24048277322485972</c:v>
                </c:pt>
                <c:pt idx="6">
                  <c:v>0.24048277322485972</c:v>
                </c:pt>
                <c:pt idx="7">
                  <c:v>0.24048277322485972</c:v>
                </c:pt>
                <c:pt idx="8">
                  <c:v>0.24048277322485972</c:v>
                </c:pt>
                <c:pt idx="9">
                  <c:v>0.24048277322485972</c:v>
                </c:pt>
                <c:pt idx="10">
                  <c:v>0.24048277322485972</c:v>
                </c:pt>
                <c:pt idx="11">
                  <c:v>0.24048277322485972</c:v>
                </c:pt>
              </c:numCache>
            </c:numRef>
          </c:val>
          <c:smooth val="0"/>
        </c:ser>
        <c:dLbls>
          <c:showLegendKey val="0"/>
          <c:showVal val="0"/>
          <c:showCatName val="0"/>
          <c:showSerName val="0"/>
          <c:showPercent val="0"/>
          <c:showBubbleSize val="0"/>
        </c:dLbls>
        <c:smooth val="0"/>
        <c:axId val="641000488"/>
        <c:axId val="641000880"/>
      </c:lineChart>
      <c:catAx>
        <c:axId val="641000488"/>
        <c:scaling>
          <c:orientation val="minMax"/>
        </c:scaling>
        <c:delete val="0"/>
        <c:axPos val="b"/>
        <c:numFmt formatCode="General" sourceLinked="1"/>
        <c:majorTickMark val="out"/>
        <c:minorTickMark val="none"/>
        <c:tickLblPos val="nextTo"/>
        <c:crossAx val="641000880"/>
        <c:crosses val="autoZero"/>
        <c:auto val="1"/>
        <c:lblAlgn val="ctr"/>
        <c:lblOffset val="100"/>
        <c:noMultiLvlLbl val="0"/>
      </c:catAx>
      <c:valAx>
        <c:axId val="641000880"/>
        <c:scaling>
          <c:orientation val="minMax"/>
          <c:min val="0.1"/>
        </c:scaling>
        <c:delete val="0"/>
        <c:axPos val="l"/>
        <c:numFmt formatCode="0%" sourceLinked="1"/>
        <c:majorTickMark val="out"/>
        <c:minorTickMark val="none"/>
        <c:tickLblPos val="nextTo"/>
        <c:crossAx val="641000488"/>
        <c:crosses val="autoZero"/>
        <c:crossBetween val="between"/>
      </c:valAx>
    </c:plotArea>
    <c:legend>
      <c:legendPos val="r"/>
      <c:layout>
        <c:manualLayout>
          <c:xMode val="edge"/>
          <c:yMode val="edge"/>
          <c:x val="0.19872045960679827"/>
          <c:y val="0.12151610493128381"/>
          <c:w val="0.53459204495760815"/>
          <c:h val="0.1478887194359769"/>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5397692425352565E-2"/>
          <c:y val="0.15318338865270278"/>
          <c:w val="0.85742982380609778"/>
          <c:h val="0.75561604583705677"/>
        </c:manualLayout>
      </c:layout>
      <c:scatterChart>
        <c:scatterStyle val="lineMarker"/>
        <c:varyColors val="0"/>
        <c:ser>
          <c:idx val="0"/>
          <c:order val="0"/>
          <c:tx>
            <c:strRef>
              <c:f>model!$AA$179</c:f>
              <c:strCache>
                <c:ptCount val="1"/>
                <c:pt idx="0">
                  <c:v>Карбамид FOB Baltic Sea</c:v>
                </c:pt>
              </c:strCache>
            </c:strRef>
          </c:tx>
          <c:spPr>
            <a:ln w="28575">
              <a:noFill/>
            </a:ln>
          </c:spPr>
          <c:trendline>
            <c:trendlineType val="log"/>
            <c:dispRSqr val="1"/>
            <c:dispEq val="1"/>
            <c:trendlineLbl>
              <c:layout>
                <c:manualLayout>
                  <c:x val="7.5379629392603564E-2"/>
                  <c:y val="0.46903266733189553"/>
                </c:manualLayout>
              </c:layout>
              <c:numFmt formatCode="General" sourceLinked="0"/>
            </c:trendlineLbl>
          </c:trendline>
          <c:xVal>
            <c:strRef>
              <c:f>model!$AA$183:$AA$1011</c:f>
              <c:strCache>
                <c:ptCount val="829"/>
                <c:pt idx="0">
                  <c:v>86</c:v>
                </c:pt>
                <c:pt idx="1">
                  <c:v>87</c:v>
                </c:pt>
                <c:pt idx="2">
                  <c:v>94</c:v>
                </c:pt>
                <c:pt idx="3">
                  <c:v>99</c:v>
                </c:pt>
                <c:pt idx="4">
                  <c:v>106</c:v>
                </c:pt>
                <c:pt idx="5">
                  <c:v>106</c:v>
                </c:pt>
                <c:pt idx="6">
                  <c:v>108</c:v>
                </c:pt>
                <c:pt idx="7">
                  <c:v>110</c:v>
                </c:pt>
                <c:pt idx="8">
                  <c:v>111</c:v>
                </c:pt>
                <c:pt idx="9">
                  <c:v>113</c:v>
                </c:pt>
                <c:pt idx="10">
                  <c:v>122</c:v>
                </c:pt>
                <c:pt idx="11">
                  <c:v>132</c:v>
                </c:pt>
                <c:pt idx="12">
                  <c:v>135</c:v>
                </c:pt>
                <c:pt idx="13">
                  <c:v>135</c:v>
                </c:pt>
                <c:pt idx="14">
                  <c:v>131</c:v>
                </c:pt>
                <c:pt idx="15">
                  <c:v>123</c:v>
                </c:pt>
                <c:pt idx="16">
                  <c:v>119</c:v>
                </c:pt>
                <c:pt idx="17">
                  <c:v>109</c:v>
                </c:pt>
                <c:pt idx="18">
                  <c:v>107</c:v>
                </c:pt>
                <c:pt idx="19">
                  <c:v>107</c:v>
                </c:pt>
                <c:pt idx="20">
                  <c:v>114</c:v>
                </c:pt>
                <c:pt idx="21">
                  <c:v>114</c:v>
                </c:pt>
                <c:pt idx="22">
                  <c:v>114</c:v>
                </c:pt>
                <c:pt idx="23">
                  <c:v>114</c:v>
                </c:pt>
                <c:pt idx="24">
                  <c:v>107</c:v>
                </c:pt>
                <c:pt idx="25">
                  <c:v>106</c:v>
                </c:pt>
                <c:pt idx="26">
                  <c:v>102</c:v>
                </c:pt>
                <c:pt idx="27">
                  <c:v>102</c:v>
                </c:pt>
                <c:pt idx="28">
                  <c:v>99</c:v>
                </c:pt>
                <c:pt idx="29">
                  <c:v>97</c:v>
                </c:pt>
                <c:pt idx="30">
                  <c:v>97</c:v>
                </c:pt>
                <c:pt idx="31">
                  <c:v>97</c:v>
                </c:pt>
                <c:pt idx="32">
                  <c:v>110</c:v>
                </c:pt>
                <c:pt idx="33">
                  <c:v>118</c:v>
                </c:pt>
                <c:pt idx="34">
                  <c:v>113</c:v>
                </c:pt>
                <c:pt idx="35">
                  <c:v>112</c:v>
                </c:pt>
                <c:pt idx="36">
                  <c:v>103</c:v>
                </c:pt>
                <c:pt idx="37">
                  <c:v>98</c:v>
                </c:pt>
                <c:pt idx="38">
                  <c:v>102</c:v>
                </c:pt>
                <c:pt idx="39">
                  <c:v>99</c:v>
                </c:pt>
                <c:pt idx="40">
                  <c:v>97</c:v>
                </c:pt>
                <c:pt idx="41">
                  <c:v>95</c:v>
                </c:pt>
                <c:pt idx="42">
                  <c:v>96</c:v>
                </c:pt>
                <c:pt idx="43">
                  <c:v>94</c:v>
                </c:pt>
                <c:pt idx="44">
                  <c:v>94</c:v>
                </c:pt>
                <c:pt idx="45">
                  <c:v>92</c:v>
                </c:pt>
                <c:pt idx="46">
                  <c:v>84</c:v>
                </c:pt>
                <c:pt idx="47">
                  <c:v>76</c:v>
                </c:pt>
                <c:pt idx="48">
                  <c:v>74</c:v>
                </c:pt>
                <c:pt idx="49">
                  <c:v>74</c:v>
                </c:pt>
                <c:pt idx="50">
                  <c:v>78</c:v>
                </c:pt>
                <c:pt idx="51">
                  <c:v>81</c:v>
                </c:pt>
                <c:pt idx="52">
                  <c:v>84</c:v>
                </c:pt>
                <c:pt idx="53">
                  <c:v>84</c:v>
                </c:pt>
                <c:pt idx="54">
                  <c:v>84</c:v>
                </c:pt>
                <c:pt idx="55">
                  <c:v>82</c:v>
                </c:pt>
                <c:pt idx="56">
                  <c:v>84</c:v>
                </c:pt>
                <c:pt idx="57">
                  <c:v>84</c:v>
                </c:pt>
                <c:pt idx="58">
                  <c:v>88</c:v>
                </c:pt>
                <c:pt idx="59">
                  <c:v>88</c:v>
                </c:pt>
                <c:pt idx="60">
                  <c:v>89</c:v>
                </c:pt>
                <c:pt idx="61">
                  <c:v>91</c:v>
                </c:pt>
                <c:pt idx="62">
                  <c:v>90</c:v>
                </c:pt>
                <c:pt idx="63">
                  <c:v>88</c:v>
                </c:pt>
                <c:pt idx="65">
                  <c:v>88</c:v>
                </c:pt>
                <c:pt idx="67">
                  <c:v>87</c:v>
                </c:pt>
                <c:pt idx="68">
                  <c:v>90</c:v>
                </c:pt>
                <c:pt idx="69">
                  <c:v>92</c:v>
                </c:pt>
                <c:pt idx="70">
                  <c:v>94</c:v>
                </c:pt>
                <c:pt idx="71">
                  <c:v>95</c:v>
                </c:pt>
                <c:pt idx="72">
                  <c:v>96</c:v>
                </c:pt>
                <c:pt idx="73">
                  <c:v>93</c:v>
                </c:pt>
                <c:pt idx="74">
                  <c:v>92</c:v>
                </c:pt>
                <c:pt idx="75">
                  <c:v>94</c:v>
                </c:pt>
                <c:pt idx="76">
                  <c:v>96</c:v>
                </c:pt>
                <c:pt idx="77">
                  <c:v>96</c:v>
                </c:pt>
                <c:pt idx="78">
                  <c:v>101</c:v>
                </c:pt>
                <c:pt idx="79">
                  <c:v>101</c:v>
                </c:pt>
                <c:pt idx="80">
                  <c:v>101</c:v>
                </c:pt>
                <c:pt idx="82">
                  <c:v>103</c:v>
                </c:pt>
                <c:pt idx="83">
                  <c:v>103</c:v>
                </c:pt>
                <c:pt idx="84">
                  <c:v>103</c:v>
                </c:pt>
                <c:pt idx="85">
                  <c:v>94</c:v>
                </c:pt>
                <c:pt idx="86">
                  <c:v>94</c:v>
                </c:pt>
                <c:pt idx="87">
                  <c:v>92</c:v>
                </c:pt>
                <c:pt idx="88">
                  <c:v>91</c:v>
                </c:pt>
                <c:pt idx="89">
                  <c:v>89</c:v>
                </c:pt>
                <c:pt idx="90">
                  <c:v>89</c:v>
                </c:pt>
                <c:pt idx="91">
                  <c:v>89</c:v>
                </c:pt>
                <c:pt idx="92">
                  <c:v>89</c:v>
                </c:pt>
                <c:pt idx="93">
                  <c:v>86</c:v>
                </c:pt>
                <c:pt idx="95">
                  <c:v>84</c:v>
                </c:pt>
                <c:pt idx="96">
                  <c:v>85</c:v>
                </c:pt>
                <c:pt idx="97">
                  <c:v>83</c:v>
                </c:pt>
                <c:pt idx="98">
                  <c:v>84</c:v>
                </c:pt>
                <c:pt idx="99">
                  <c:v>85</c:v>
                </c:pt>
                <c:pt idx="100">
                  <c:v>86</c:v>
                </c:pt>
                <c:pt idx="101">
                  <c:v>87</c:v>
                </c:pt>
                <c:pt idx="102">
                  <c:v>90</c:v>
                </c:pt>
                <c:pt idx="103">
                  <c:v>90</c:v>
                </c:pt>
                <c:pt idx="104">
                  <c:v>91</c:v>
                </c:pt>
                <c:pt idx="105">
                  <c:v>92</c:v>
                </c:pt>
                <c:pt idx="106">
                  <c:v>90</c:v>
                </c:pt>
                <c:pt idx="107">
                  <c:v>90</c:v>
                </c:pt>
                <c:pt idx="108">
                  <c:v>90</c:v>
                </c:pt>
                <c:pt idx="109">
                  <c:v>93</c:v>
                </c:pt>
                <c:pt idx="110">
                  <c:v>96</c:v>
                </c:pt>
                <c:pt idx="111">
                  <c:v>98</c:v>
                </c:pt>
                <c:pt idx="112">
                  <c:v>101</c:v>
                </c:pt>
                <c:pt idx="113">
                  <c:v>101</c:v>
                </c:pt>
                <c:pt idx="114">
                  <c:v>101</c:v>
                </c:pt>
                <c:pt idx="115">
                  <c:v>99</c:v>
                </c:pt>
                <c:pt idx="116">
                  <c:v>96</c:v>
                </c:pt>
                <c:pt idx="117">
                  <c:v>92</c:v>
                </c:pt>
                <c:pt idx="118">
                  <c:v>91</c:v>
                </c:pt>
                <c:pt idx="119">
                  <c:v>89</c:v>
                </c:pt>
                <c:pt idx="120">
                  <c:v>87</c:v>
                </c:pt>
                <c:pt idx="121">
                  <c:v>89</c:v>
                </c:pt>
                <c:pt idx="122">
                  <c:v>90</c:v>
                </c:pt>
                <c:pt idx="123">
                  <c:v>90</c:v>
                </c:pt>
                <c:pt idx="124">
                  <c:v>90</c:v>
                </c:pt>
                <c:pt idx="125">
                  <c:v>90</c:v>
                </c:pt>
                <c:pt idx="126">
                  <c:v>90</c:v>
                </c:pt>
                <c:pt idx="127">
                  <c:v>96</c:v>
                </c:pt>
                <c:pt idx="128">
                  <c:v>100</c:v>
                </c:pt>
                <c:pt idx="129">
                  <c:v>100</c:v>
                </c:pt>
                <c:pt idx="130">
                  <c:v>100</c:v>
                </c:pt>
                <c:pt idx="131">
                  <c:v>99</c:v>
                </c:pt>
                <c:pt idx="132">
                  <c:v>96</c:v>
                </c:pt>
                <c:pt idx="133">
                  <c:v>98</c:v>
                </c:pt>
                <c:pt idx="134">
                  <c:v>105</c:v>
                </c:pt>
                <c:pt idx="135">
                  <c:v>111</c:v>
                </c:pt>
                <c:pt idx="136">
                  <c:v>115</c:v>
                </c:pt>
                <c:pt idx="137">
                  <c:v>125</c:v>
                </c:pt>
                <c:pt idx="138">
                  <c:v>125</c:v>
                </c:pt>
                <c:pt idx="139">
                  <c:v>125</c:v>
                </c:pt>
                <c:pt idx="140">
                  <c:v>128</c:v>
                </c:pt>
                <c:pt idx="141">
                  <c:v>128</c:v>
                </c:pt>
                <c:pt idx="142">
                  <c:v>134</c:v>
                </c:pt>
                <c:pt idx="143">
                  <c:v>134</c:v>
                </c:pt>
                <c:pt idx="144">
                  <c:v>134</c:v>
                </c:pt>
                <c:pt idx="145">
                  <c:v>125</c:v>
                </c:pt>
                <c:pt idx="146">
                  <c:v>118</c:v>
                </c:pt>
                <c:pt idx="147">
                  <c:v>113</c:v>
                </c:pt>
                <c:pt idx="148">
                  <c:v>111</c:v>
                </c:pt>
                <c:pt idx="149">
                  <c:v>114</c:v>
                </c:pt>
                <c:pt idx="150">
                  <c:v>119</c:v>
                </c:pt>
                <c:pt idx="151">
                  <c:v>124</c:v>
                </c:pt>
                <c:pt idx="152">
                  <c:v>129</c:v>
                </c:pt>
                <c:pt idx="153">
                  <c:v>129</c:v>
                </c:pt>
                <c:pt idx="154">
                  <c:v>132</c:v>
                </c:pt>
                <c:pt idx="155">
                  <c:v>130</c:v>
                </c:pt>
                <c:pt idx="156">
                  <c:v>129</c:v>
                </c:pt>
                <c:pt idx="157">
                  <c:v>132</c:v>
                </c:pt>
                <c:pt idx="158">
                  <c:v>139</c:v>
                </c:pt>
                <c:pt idx="159">
                  <c:v>141</c:v>
                </c:pt>
                <c:pt idx="160">
                  <c:v>142</c:v>
                </c:pt>
                <c:pt idx="161">
                  <c:v>140</c:v>
                </c:pt>
                <c:pt idx="162">
                  <c:v>136</c:v>
                </c:pt>
                <c:pt idx="163">
                  <c:v>130</c:v>
                </c:pt>
                <c:pt idx="164">
                  <c:v>140</c:v>
                </c:pt>
                <c:pt idx="165">
                  <c:v>145</c:v>
                </c:pt>
                <c:pt idx="166">
                  <c:v>150</c:v>
                </c:pt>
                <c:pt idx="167">
                  <c:v>149</c:v>
                </c:pt>
                <c:pt idx="168">
                  <c:v>144</c:v>
                </c:pt>
                <c:pt idx="169">
                  <c:v>144</c:v>
                </c:pt>
                <c:pt idx="170">
                  <c:v>149</c:v>
                </c:pt>
                <c:pt idx="171">
                  <c:v>152</c:v>
                </c:pt>
                <c:pt idx="172">
                  <c:v>153</c:v>
                </c:pt>
                <c:pt idx="173">
                  <c:v>153</c:v>
                </c:pt>
                <c:pt idx="174">
                  <c:v>151</c:v>
                </c:pt>
                <c:pt idx="175">
                  <c:v>148</c:v>
                </c:pt>
                <c:pt idx="176">
                  <c:v>146</c:v>
                </c:pt>
                <c:pt idx="177">
                  <c:v>150</c:v>
                </c:pt>
                <c:pt idx="178">
                  <c:v>154</c:v>
                </c:pt>
                <c:pt idx="179">
                  <c:v>151</c:v>
                </c:pt>
                <c:pt idx="180">
                  <c:v>156</c:v>
                </c:pt>
                <c:pt idx="181">
                  <c:v>157</c:v>
                </c:pt>
                <c:pt idx="182">
                  <c:v>159</c:v>
                </c:pt>
                <c:pt idx="183">
                  <c:v>157</c:v>
                </c:pt>
                <c:pt idx="184">
                  <c:v>157</c:v>
                </c:pt>
                <c:pt idx="185">
                  <c:v>157</c:v>
                </c:pt>
                <c:pt idx="186">
                  <c:v>153</c:v>
                </c:pt>
                <c:pt idx="187">
                  <c:v>149</c:v>
                </c:pt>
                <c:pt idx="188">
                  <c:v>142</c:v>
                </c:pt>
                <c:pt idx="189">
                  <c:v>128</c:v>
                </c:pt>
                <c:pt idx="190">
                  <c:v>120</c:v>
                </c:pt>
                <c:pt idx="191">
                  <c:v>124</c:v>
                </c:pt>
                <c:pt idx="192">
                  <c:v>126</c:v>
                </c:pt>
                <c:pt idx="193">
                  <c:v>125</c:v>
                </c:pt>
                <c:pt idx="194">
                  <c:v>127</c:v>
                </c:pt>
                <c:pt idx="195">
                  <c:v>130</c:v>
                </c:pt>
                <c:pt idx="196">
                  <c:v>125</c:v>
                </c:pt>
                <c:pt idx="197">
                  <c:v>128</c:v>
                </c:pt>
                <c:pt idx="198">
                  <c:v>131</c:v>
                </c:pt>
                <c:pt idx="199">
                  <c:v>129</c:v>
                </c:pt>
                <c:pt idx="200">
                  <c:v>127</c:v>
                </c:pt>
                <c:pt idx="201">
                  <c:v>132</c:v>
                </c:pt>
                <c:pt idx="202">
                  <c:v>129</c:v>
                </c:pt>
                <c:pt idx="203">
                  <c:v>137</c:v>
                </c:pt>
                <c:pt idx="204">
                  <c:v>141</c:v>
                </c:pt>
                <c:pt idx="205">
                  <c:v>146</c:v>
                </c:pt>
                <c:pt idx="206">
                  <c:v>161</c:v>
                </c:pt>
                <c:pt idx="207">
                  <c:v>163</c:v>
                </c:pt>
                <c:pt idx="208">
                  <c:v>166</c:v>
                </c:pt>
                <c:pt idx="209">
                  <c:v>176</c:v>
                </c:pt>
                <c:pt idx="210">
                  <c:v>187</c:v>
                </c:pt>
                <c:pt idx="211">
                  <c:v>200</c:v>
                </c:pt>
                <c:pt idx="212">
                  <c:v>209</c:v>
                </c:pt>
                <c:pt idx="213">
                  <c:v>213</c:v>
                </c:pt>
                <c:pt idx="214">
                  <c:v>210</c:v>
                </c:pt>
                <c:pt idx="215">
                  <c:v>205</c:v>
                </c:pt>
                <c:pt idx="216">
                  <c:v>191</c:v>
                </c:pt>
                <c:pt idx="217">
                  <c:v>204</c:v>
                </c:pt>
                <c:pt idx="218">
                  <c:v>213</c:v>
                </c:pt>
                <c:pt idx="219">
                  <c:v>214</c:v>
                </c:pt>
                <c:pt idx="220">
                  <c:v>216</c:v>
                </c:pt>
                <c:pt idx="221">
                  <c:v>220</c:v>
                </c:pt>
                <c:pt idx="222">
                  <c:v>236</c:v>
                </c:pt>
                <c:pt idx="223">
                  <c:v>240</c:v>
                </c:pt>
                <c:pt idx="224">
                  <c:v>240</c:v>
                </c:pt>
                <c:pt idx="225">
                  <c:v>234</c:v>
                </c:pt>
                <c:pt idx="226">
                  <c:v>230</c:v>
                </c:pt>
                <c:pt idx="227">
                  <c:v>213</c:v>
                </c:pt>
                <c:pt idx="228">
                  <c:v>196</c:v>
                </c:pt>
                <c:pt idx="229">
                  <c:v>212</c:v>
                </c:pt>
                <c:pt idx="230">
                  <c:v>193</c:v>
                </c:pt>
                <c:pt idx="231">
                  <c:v>188</c:v>
                </c:pt>
                <c:pt idx="232">
                  <c:v>180</c:v>
                </c:pt>
                <c:pt idx="233">
                  <c:v>177</c:v>
                </c:pt>
                <c:pt idx="234">
                  <c:v>175</c:v>
                </c:pt>
                <c:pt idx="235">
                  <c:v>188</c:v>
                </c:pt>
                <c:pt idx="236">
                  <c:v>194</c:v>
                </c:pt>
                <c:pt idx="237">
                  <c:v>184</c:v>
                </c:pt>
                <c:pt idx="238">
                  <c:v>175</c:v>
                </c:pt>
                <c:pt idx="239">
                  <c:v>172</c:v>
                </c:pt>
                <c:pt idx="240">
                  <c:v>170</c:v>
                </c:pt>
                <c:pt idx="241">
                  <c:v>182</c:v>
                </c:pt>
                <c:pt idx="242">
                  <c:v>192</c:v>
                </c:pt>
                <c:pt idx="243">
                  <c:v>198</c:v>
                </c:pt>
                <c:pt idx="244">
                  <c:v>201</c:v>
                </c:pt>
                <c:pt idx="245">
                  <c:v>215</c:v>
                </c:pt>
                <c:pt idx="246">
                  <c:v>215</c:v>
                </c:pt>
                <c:pt idx="247">
                  <c:v>223</c:v>
                </c:pt>
                <c:pt idx="248">
                  <c:v>229</c:v>
                </c:pt>
                <c:pt idx="249">
                  <c:v>239</c:v>
                </c:pt>
                <c:pt idx="250">
                  <c:v>248</c:v>
                </c:pt>
                <c:pt idx="251">
                  <c:v>235</c:v>
                </c:pt>
                <c:pt idx="252">
                  <c:v>258</c:v>
                </c:pt>
                <c:pt idx="253">
                  <c:v>255</c:v>
                </c:pt>
                <c:pt idx="254">
                  <c:v>255</c:v>
                </c:pt>
                <c:pt idx="255">
                  <c:v>240</c:v>
                </c:pt>
                <c:pt idx="256">
                  <c:v>225</c:v>
                </c:pt>
                <c:pt idx="257">
                  <c:v>203</c:v>
                </c:pt>
                <c:pt idx="258">
                  <c:v>207</c:v>
                </c:pt>
                <c:pt idx="259">
                  <c:v>220</c:v>
                </c:pt>
                <c:pt idx="260">
                  <c:v>220</c:v>
                </c:pt>
                <c:pt idx="261">
                  <c:v>213</c:v>
                </c:pt>
                <c:pt idx="262">
                  <c:v>206</c:v>
                </c:pt>
                <c:pt idx="263">
                  <c:v>200</c:v>
                </c:pt>
                <c:pt idx="264">
                  <c:v>200</c:v>
                </c:pt>
                <c:pt idx="265">
                  <c:v>201</c:v>
                </c:pt>
                <c:pt idx="266">
                  <c:v>205</c:v>
                </c:pt>
                <c:pt idx="267">
                  <c:v>202</c:v>
                </c:pt>
                <c:pt idx="268">
                  <c:v>210</c:v>
                </c:pt>
                <c:pt idx="269">
                  <c:v>204</c:v>
                </c:pt>
                <c:pt idx="270">
                  <c:v>204</c:v>
                </c:pt>
                <c:pt idx="271">
                  <c:v>202</c:v>
                </c:pt>
                <c:pt idx="272">
                  <c:v>204</c:v>
                </c:pt>
                <c:pt idx="273">
                  <c:v>211</c:v>
                </c:pt>
                <c:pt idx="274">
                  <c:v>212</c:v>
                </c:pt>
                <c:pt idx="275">
                  <c:v>213</c:v>
                </c:pt>
                <c:pt idx="276">
                  <c:v>221</c:v>
                </c:pt>
                <c:pt idx="277">
                  <c:v>224</c:v>
                </c:pt>
                <c:pt idx="278">
                  <c:v>220</c:v>
                </c:pt>
                <c:pt idx="279">
                  <c:v>217</c:v>
                </c:pt>
                <c:pt idx="280">
                  <c:v>212</c:v>
                </c:pt>
                <c:pt idx="281">
                  <c:v>208</c:v>
                </c:pt>
                <c:pt idx="282">
                  <c:v>198</c:v>
                </c:pt>
                <c:pt idx="283">
                  <c:v>195</c:v>
                </c:pt>
                <c:pt idx="284">
                  <c:v>205</c:v>
                </c:pt>
                <c:pt idx="285">
                  <c:v>199</c:v>
                </c:pt>
                <c:pt idx="286">
                  <c:v>196</c:v>
                </c:pt>
                <c:pt idx="287">
                  <c:v>189</c:v>
                </c:pt>
                <c:pt idx="288">
                  <c:v>197</c:v>
                </c:pt>
                <c:pt idx="289">
                  <c:v>205</c:v>
                </c:pt>
                <c:pt idx="290">
                  <c:v>211</c:v>
                </c:pt>
                <c:pt idx="291">
                  <c:v>208</c:v>
                </c:pt>
                <c:pt idx="292">
                  <c:v>215</c:v>
                </c:pt>
                <c:pt idx="293">
                  <c:v>228</c:v>
                </c:pt>
                <c:pt idx="294">
                  <c:v>233</c:v>
                </c:pt>
                <c:pt idx="295">
                  <c:v>245</c:v>
                </c:pt>
                <c:pt idx="296">
                  <c:v>245</c:v>
                </c:pt>
                <c:pt idx="297">
                  <c:v>240</c:v>
                </c:pt>
                <c:pt idx="298">
                  <c:v>245</c:v>
                </c:pt>
                <c:pt idx="299">
                  <c:v>240</c:v>
                </c:pt>
                <c:pt idx="300">
                  <c:v>240</c:v>
                </c:pt>
                <c:pt idx="301">
                  <c:v>240</c:v>
                </c:pt>
                <c:pt idx="302">
                  <c:v>235</c:v>
                </c:pt>
                <c:pt idx="303">
                  <c:v>230</c:v>
                </c:pt>
                <c:pt idx="304">
                  <c:v>223</c:v>
                </c:pt>
                <c:pt idx="305">
                  <c:v>212</c:v>
                </c:pt>
                <c:pt idx="306">
                  <c:v>212</c:v>
                </c:pt>
                <c:pt idx="307">
                  <c:v>198</c:v>
                </c:pt>
                <c:pt idx="308">
                  <c:v>198</c:v>
                </c:pt>
                <c:pt idx="309">
                  <c:v>201</c:v>
                </c:pt>
                <c:pt idx="310">
                  <c:v>201</c:v>
                </c:pt>
                <c:pt idx="311">
                  <c:v>200</c:v>
                </c:pt>
                <c:pt idx="312">
                  <c:v>200</c:v>
                </c:pt>
                <c:pt idx="313">
                  <c:v>195</c:v>
                </c:pt>
                <c:pt idx="314">
                  <c:v>205</c:v>
                </c:pt>
                <c:pt idx="315">
                  <c:v>208</c:v>
                </c:pt>
                <c:pt idx="316">
                  <c:v>212</c:v>
                </c:pt>
                <c:pt idx="317">
                  <c:v>214</c:v>
                </c:pt>
                <c:pt idx="318">
                  <c:v>212</c:v>
                </c:pt>
                <c:pt idx="319">
                  <c:v>208</c:v>
                </c:pt>
                <c:pt idx="320">
                  <c:v>205</c:v>
                </c:pt>
                <c:pt idx="321">
                  <c:v>209</c:v>
                </c:pt>
                <c:pt idx="322">
                  <c:v>204</c:v>
                </c:pt>
                <c:pt idx="323">
                  <c:v>196</c:v>
                </c:pt>
                <c:pt idx="324">
                  <c:v>203</c:v>
                </c:pt>
                <c:pt idx="325">
                  <c:v>206</c:v>
                </c:pt>
                <c:pt idx="326">
                  <c:v>207</c:v>
                </c:pt>
                <c:pt idx="327">
                  <c:v>209</c:v>
                </c:pt>
                <c:pt idx="328">
                  <c:v>218</c:v>
                </c:pt>
                <c:pt idx="329">
                  <c:v>228</c:v>
                </c:pt>
                <c:pt idx="330">
                  <c:v>240</c:v>
                </c:pt>
                <c:pt idx="331">
                  <c:v>245</c:v>
                </c:pt>
                <c:pt idx="332">
                  <c:v>248</c:v>
                </c:pt>
                <c:pt idx="333">
                  <c:v>246</c:v>
                </c:pt>
                <c:pt idx="334">
                  <c:v>250</c:v>
                </c:pt>
                <c:pt idx="335">
                  <c:v>251</c:v>
                </c:pt>
                <c:pt idx="336">
                  <c:v>252</c:v>
                </c:pt>
                <c:pt idx="337">
                  <c:v>266</c:v>
                </c:pt>
                <c:pt idx="338">
                  <c:v>272</c:v>
                </c:pt>
                <c:pt idx="339">
                  <c:v>275</c:v>
                </c:pt>
                <c:pt idx="340">
                  <c:v>282</c:v>
                </c:pt>
                <c:pt idx="341">
                  <c:v>293</c:v>
                </c:pt>
                <c:pt idx="342">
                  <c:v>301</c:v>
                </c:pt>
                <c:pt idx="343">
                  <c:v>307</c:v>
                </c:pt>
                <c:pt idx="344">
                  <c:v>310</c:v>
                </c:pt>
                <c:pt idx="345">
                  <c:v>312</c:v>
                </c:pt>
                <c:pt idx="346">
                  <c:v>308</c:v>
                </c:pt>
                <c:pt idx="347">
                  <c:v>298</c:v>
                </c:pt>
                <c:pt idx="348">
                  <c:v>293</c:v>
                </c:pt>
                <c:pt idx="349">
                  <c:v>280</c:v>
                </c:pt>
                <c:pt idx="350">
                  <c:v>281</c:v>
                </c:pt>
                <c:pt idx="351">
                  <c:v>286</c:v>
                </c:pt>
                <c:pt idx="352">
                  <c:v>296</c:v>
                </c:pt>
                <c:pt idx="353">
                  <c:v>288</c:v>
                </c:pt>
                <c:pt idx="354">
                  <c:v>289</c:v>
                </c:pt>
                <c:pt idx="355">
                  <c:v>284</c:v>
                </c:pt>
                <c:pt idx="356">
                  <c:v>285</c:v>
                </c:pt>
                <c:pt idx="357">
                  <c:v>283</c:v>
                </c:pt>
                <c:pt idx="358">
                  <c:v>273</c:v>
                </c:pt>
                <c:pt idx="359">
                  <c:v>272</c:v>
                </c:pt>
                <c:pt idx="360">
                  <c:v>272</c:v>
                </c:pt>
                <c:pt idx="361">
                  <c:v>268</c:v>
                </c:pt>
                <c:pt idx="362">
                  <c:v>263</c:v>
                </c:pt>
                <c:pt idx="363">
                  <c:v>257</c:v>
                </c:pt>
                <c:pt idx="364">
                  <c:v>252</c:v>
                </c:pt>
                <c:pt idx="365">
                  <c:v>246</c:v>
                </c:pt>
                <c:pt idx="366">
                  <c:v>253</c:v>
                </c:pt>
                <c:pt idx="367">
                  <c:v>277</c:v>
                </c:pt>
                <c:pt idx="368">
                  <c:v>298</c:v>
                </c:pt>
                <c:pt idx="369">
                  <c:v>303</c:v>
                </c:pt>
                <c:pt idx="370">
                  <c:v>307</c:v>
                </c:pt>
                <c:pt idx="371">
                  <c:v>306</c:v>
                </c:pt>
                <c:pt idx="372">
                  <c:v>314</c:v>
                </c:pt>
                <c:pt idx="373">
                  <c:v>319</c:v>
                </c:pt>
                <c:pt idx="374">
                  <c:v>325</c:v>
                </c:pt>
                <c:pt idx="375">
                  <c:v>329</c:v>
                </c:pt>
                <c:pt idx="376">
                  <c:v>328</c:v>
                </c:pt>
                <c:pt idx="377">
                  <c:v>347</c:v>
                </c:pt>
                <c:pt idx="378">
                  <c:v>353</c:v>
                </c:pt>
                <c:pt idx="379">
                  <c:v>360</c:v>
                </c:pt>
                <c:pt idx="380">
                  <c:v>385</c:v>
                </c:pt>
                <c:pt idx="381">
                  <c:v>390</c:v>
                </c:pt>
                <c:pt idx="382">
                  <c:v>391</c:v>
                </c:pt>
                <c:pt idx="383">
                  <c:v>384</c:v>
                </c:pt>
                <c:pt idx="384">
                  <c:v>380</c:v>
                </c:pt>
                <c:pt idx="385">
                  <c:v>378</c:v>
                </c:pt>
                <c:pt idx="386">
                  <c:v>378</c:v>
                </c:pt>
                <c:pt idx="387">
                  <c:v>370</c:v>
                </c:pt>
                <c:pt idx="388">
                  <c:v>360</c:v>
                </c:pt>
                <c:pt idx="389">
                  <c:v>340</c:v>
                </c:pt>
                <c:pt idx="390">
                  <c:v>323</c:v>
                </c:pt>
                <c:pt idx="391">
                  <c:v>328</c:v>
                </c:pt>
                <c:pt idx="392">
                  <c:v>324</c:v>
                </c:pt>
                <c:pt idx="393">
                  <c:v>315</c:v>
                </c:pt>
                <c:pt idx="394">
                  <c:v>330</c:v>
                </c:pt>
                <c:pt idx="395">
                  <c:v>365</c:v>
                </c:pt>
                <c:pt idx="396">
                  <c:v>393</c:v>
                </c:pt>
                <c:pt idx="397">
                  <c:v>382</c:v>
                </c:pt>
                <c:pt idx="398">
                  <c:v>385</c:v>
                </c:pt>
                <c:pt idx="399">
                  <c:v>408</c:v>
                </c:pt>
                <c:pt idx="400">
                  <c:v>478</c:v>
                </c:pt>
                <c:pt idx="401">
                  <c:v>530</c:v>
                </c:pt>
                <c:pt idx="402">
                  <c:v>585</c:v>
                </c:pt>
                <c:pt idx="403">
                  <c:v>592</c:v>
                </c:pt>
                <c:pt idx="404">
                  <c:v>613</c:v>
                </c:pt>
                <c:pt idx="405">
                  <c:v>620</c:v>
                </c:pt>
                <c:pt idx="406">
                  <c:v>250</c:v>
                </c:pt>
                <c:pt idx="407">
                  <c:v>239</c:v>
                </c:pt>
                <c:pt idx="408">
                  <c:v>240</c:v>
                </c:pt>
                <c:pt idx="409">
                  <c:v>237</c:v>
                </c:pt>
                <c:pt idx="410">
                  <c:v>231</c:v>
                </c:pt>
                <c:pt idx="411">
                  <c:v>226</c:v>
                </c:pt>
                <c:pt idx="412">
                  <c:v>215</c:v>
                </c:pt>
                <c:pt idx="413">
                  <c:v>220</c:v>
                </c:pt>
                <c:pt idx="414">
                  <c:v>273</c:v>
                </c:pt>
                <c:pt idx="415">
                  <c:v>280</c:v>
                </c:pt>
                <c:pt idx="416">
                  <c:v>260</c:v>
                </c:pt>
                <c:pt idx="417">
                  <c:v>263</c:v>
                </c:pt>
                <c:pt idx="418">
                  <c:v>273</c:v>
                </c:pt>
                <c:pt idx="419">
                  <c:v>275</c:v>
                </c:pt>
                <c:pt idx="420">
                  <c:v>278</c:v>
                </c:pt>
                <c:pt idx="421">
                  <c:v>275</c:v>
                </c:pt>
                <c:pt idx="422">
                  <c:v>273</c:v>
                </c:pt>
                <c:pt idx="423">
                  <c:v>258</c:v>
                </c:pt>
                <c:pt idx="424">
                  <c:v>249</c:v>
                </c:pt>
                <c:pt idx="425">
                  <c:v>248</c:v>
                </c:pt>
                <c:pt idx="426">
                  <c:v>246</c:v>
                </c:pt>
                <c:pt idx="427">
                  <c:v>238</c:v>
                </c:pt>
                <c:pt idx="428">
                  <c:v>236</c:v>
                </c:pt>
                <c:pt idx="429">
                  <c:v>241</c:v>
                </c:pt>
                <c:pt idx="430">
                  <c:v>242</c:v>
                </c:pt>
                <c:pt idx="431">
                  <c:v>242</c:v>
                </c:pt>
                <c:pt idx="432">
                  <c:v>233</c:v>
                </c:pt>
                <c:pt idx="433">
                  <c:v>234</c:v>
                </c:pt>
                <c:pt idx="434">
                  <c:v>236</c:v>
                </c:pt>
                <c:pt idx="435">
                  <c:v>234</c:v>
                </c:pt>
                <c:pt idx="436">
                  <c:v>234</c:v>
                </c:pt>
                <c:pt idx="437">
                  <c:v>236</c:v>
                </c:pt>
                <c:pt idx="438">
                  <c:v>236</c:v>
                </c:pt>
                <c:pt idx="439">
                  <c:v>238</c:v>
                </c:pt>
                <c:pt idx="440">
                  <c:v>243</c:v>
                </c:pt>
                <c:pt idx="441">
                  <c:v>254</c:v>
                </c:pt>
                <c:pt idx="442">
                  <c:v>253</c:v>
                </c:pt>
                <c:pt idx="443">
                  <c:v>252</c:v>
                </c:pt>
                <c:pt idx="444">
                  <c:v>246</c:v>
                </c:pt>
                <c:pt idx="445">
                  <c:v>246</c:v>
                </c:pt>
                <c:pt idx="446">
                  <c:v>233</c:v>
                </c:pt>
                <c:pt idx="447">
                  <c:v>235</c:v>
                </c:pt>
                <c:pt idx="448">
                  <c:v>234</c:v>
                </c:pt>
                <c:pt idx="449">
                  <c:v>234</c:v>
                </c:pt>
                <c:pt idx="450">
                  <c:v>229</c:v>
                </c:pt>
                <c:pt idx="451">
                  <c:v>233</c:v>
                </c:pt>
                <c:pt idx="452">
                  <c:v>233</c:v>
                </c:pt>
                <c:pt idx="453">
                  <c:v>232</c:v>
                </c:pt>
                <c:pt idx="454">
                  <c:v>232</c:v>
                </c:pt>
                <c:pt idx="455">
                  <c:v>231</c:v>
                </c:pt>
                <c:pt idx="456">
                  <c:v>229</c:v>
                </c:pt>
                <c:pt idx="457">
                  <c:v>231</c:v>
                </c:pt>
                <c:pt idx="458">
                  <c:v>242</c:v>
                </c:pt>
                <c:pt idx="459">
                  <c:v>253</c:v>
                </c:pt>
                <c:pt idx="460">
                  <c:v>253</c:v>
                </c:pt>
                <c:pt idx="461">
                  <c:v>250</c:v>
                </c:pt>
                <c:pt idx="462">
                  <c:v>253</c:v>
                </c:pt>
                <c:pt idx="463">
                  <c:v>259</c:v>
                </c:pt>
                <c:pt idx="464">
                  <c:v>260</c:v>
                </c:pt>
                <c:pt idx="465">
                  <c:v>272</c:v>
                </c:pt>
                <c:pt idx="466">
                  <c:v>279</c:v>
                </c:pt>
                <c:pt idx="467">
                  <c:v>287</c:v>
                </c:pt>
                <c:pt idx="468">
                  <c:v>287</c:v>
                </c:pt>
                <c:pt idx="469">
                  <c:v>280</c:v>
                </c:pt>
                <c:pt idx="470">
                  <c:v>274</c:v>
                </c:pt>
                <c:pt idx="471">
                  <c:v>271</c:v>
                </c:pt>
                <c:pt idx="472">
                  <c:v>274</c:v>
                </c:pt>
                <c:pt idx="473">
                  <c:v>274</c:v>
                </c:pt>
                <c:pt idx="474">
                  <c:v>269</c:v>
                </c:pt>
                <c:pt idx="475">
                  <c:v>262</c:v>
                </c:pt>
                <c:pt idx="476">
                  <c:v>252</c:v>
                </c:pt>
                <c:pt idx="477">
                  <c:v>244</c:v>
                </c:pt>
                <c:pt idx="478">
                  <c:v>243</c:v>
                </c:pt>
                <c:pt idx="479">
                  <c:v>236</c:v>
                </c:pt>
                <c:pt idx="480">
                  <c:v>232</c:v>
                </c:pt>
                <c:pt idx="481">
                  <c:v>232</c:v>
                </c:pt>
                <c:pt idx="482">
                  <c:v>223</c:v>
                </c:pt>
                <c:pt idx="483">
                  <c:v>219</c:v>
                </c:pt>
                <c:pt idx="484">
                  <c:v>220</c:v>
                </c:pt>
                <c:pt idx="485">
                  <c:v>224</c:v>
                </c:pt>
                <c:pt idx="486">
                  <c:v>234</c:v>
                </c:pt>
                <c:pt idx="487">
                  <c:v>235</c:v>
                </c:pt>
                <c:pt idx="488">
                  <c:v>241</c:v>
                </c:pt>
                <c:pt idx="489">
                  <c:v>247</c:v>
                </c:pt>
                <c:pt idx="490">
                  <c:v>245</c:v>
                </c:pt>
                <c:pt idx="491">
                  <c:v>243</c:v>
                </c:pt>
                <c:pt idx="492">
                  <c:v>248</c:v>
                </c:pt>
                <c:pt idx="493">
                  <c:v>265</c:v>
                </c:pt>
                <c:pt idx="494">
                  <c:v>280</c:v>
                </c:pt>
                <c:pt idx="495">
                  <c:v>274</c:v>
                </c:pt>
                <c:pt idx="496">
                  <c:v>274</c:v>
                </c:pt>
                <c:pt idx="497">
                  <c:v>290</c:v>
                </c:pt>
                <c:pt idx="498">
                  <c:v>315</c:v>
                </c:pt>
                <c:pt idx="499">
                  <c:v>338</c:v>
                </c:pt>
                <c:pt idx="500">
                  <c:v>328</c:v>
                </c:pt>
                <c:pt idx="501">
                  <c:v>329</c:v>
                </c:pt>
                <c:pt idx="502">
                  <c:v>324</c:v>
                </c:pt>
                <c:pt idx="503">
                  <c:v>324</c:v>
                </c:pt>
                <c:pt idx="504">
                  <c:v>337</c:v>
                </c:pt>
                <c:pt idx="505">
                  <c:v>338</c:v>
                </c:pt>
                <c:pt idx="506">
                  <c:v>348</c:v>
                </c:pt>
                <c:pt idx="507">
                  <c:v>363</c:v>
                </c:pt>
                <c:pt idx="508">
                  <c:v>373</c:v>
                </c:pt>
                <c:pt idx="509">
                  <c:v>368</c:v>
                </c:pt>
                <c:pt idx="510">
                  <c:v>363</c:v>
                </c:pt>
                <c:pt idx="511">
                  <c:v>358</c:v>
                </c:pt>
                <c:pt idx="512">
                  <c:v>363</c:v>
                </c:pt>
                <c:pt idx="513">
                  <c:v>364</c:v>
                </c:pt>
                <c:pt idx="514">
                  <c:v>360</c:v>
                </c:pt>
                <c:pt idx="515">
                  <c:v>366</c:v>
                </c:pt>
                <c:pt idx="516">
                  <c:v>364</c:v>
                </c:pt>
                <c:pt idx="517">
                  <c:v>359</c:v>
                </c:pt>
                <c:pt idx="518">
                  <c:v>359</c:v>
                </c:pt>
                <c:pt idx="519">
                  <c:v>358</c:v>
                </c:pt>
                <c:pt idx="520">
                  <c:v>351</c:v>
                </c:pt>
                <c:pt idx="521">
                  <c:v>335</c:v>
                </c:pt>
                <c:pt idx="522">
                  <c:v>325</c:v>
                </c:pt>
                <c:pt idx="523">
                  <c:v>313</c:v>
                </c:pt>
                <c:pt idx="524">
                  <c:v>310</c:v>
                </c:pt>
                <c:pt idx="525">
                  <c:v>303</c:v>
                </c:pt>
                <c:pt idx="526">
                  <c:v>311</c:v>
                </c:pt>
                <c:pt idx="527">
                  <c:v>333</c:v>
                </c:pt>
                <c:pt idx="528">
                  <c:v>343</c:v>
                </c:pt>
                <c:pt idx="529">
                  <c:v>348</c:v>
                </c:pt>
                <c:pt idx="530">
                  <c:v>365</c:v>
                </c:pt>
                <c:pt idx="531">
                  <c:v>370</c:v>
                </c:pt>
                <c:pt idx="532">
                  <c:v>405</c:v>
                </c:pt>
                <c:pt idx="533">
                  <c:v>413</c:v>
                </c:pt>
                <c:pt idx="534">
                  <c:v>426</c:v>
                </c:pt>
                <c:pt idx="535">
                  <c:v>461</c:v>
                </c:pt>
                <c:pt idx="536">
                  <c:v>485</c:v>
                </c:pt>
                <c:pt idx="537">
                  <c:v>508</c:v>
                </c:pt>
                <c:pt idx="538">
                  <c:v>495</c:v>
                </c:pt>
                <c:pt idx="539">
                  <c:v>465</c:v>
                </c:pt>
                <c:pt idx="540">
                  <c:v>445</c:v>
                </c:pt>
                <c:pt idx="541">
                  <c:v>465</c:v>
                </c:pt>
                <c:pt idx="542">
                  <c:v>465</c:v>
                </c:pt>
                <c:pt idx="543">
                  <c:v>475</c:v>
                </c:pt>
                <c:pt idx="544">
                  <c:v>465</c:v>
                </c:pt>
                <c:pt idx="545">
                  <c:v>470</c:v>
                </c:pt>
                <c:pt idx="546">
                  <c:v>475</c:v>
                </c:pt>
                <c:pt idx="547">
                  <c:v>487</c:v>
                </c:pt>
                <c:pt idx="548">
                  <c:v>493</c:v>
                </c:pt>
                <c:pt idx="549">
                  <c:v>502</c:v>
                </c:pt>
                <c:pt idx="550">
                  <c:v>503</c:v>
                </c:pt>
                <c:pt idx="551">
                  <c:v>500</c:v>
                </c:pt>
                <c:pt idx="552">
                  <c:v>470</c:v>
                </c:pt>
                <c:pt idx="553">
                  <c:v>473</c:v>
                </c:pt>
                <c:pt idx="554">
                  <c:v>482</c:v>
                </c:pt>
                <c:pt idx="555">
                  <c:v>484</c:v>
                </c:pt>
                <c:pt idx="556">
                  <c:v>477</c:v>
                </c:pt>
                <c:pt idx="557">
                  <c:v>468</c:v>
                </c:pt>
                <c:pt idx="558">
                  <c:v>463</c:v>
                </c:pt>
                <c:pt idx="559">
                  <c:v>460</c:v>
                </c:pt>
                <c:pt idx="560">
                  <c:v>400</c:v>
                </c:pt>
                <c:pt idx="561">
                  <c:v>365</c:v>
                </c:pt>
                <c:pt idx="562">
                  <c:v>334</c:v>
                </c:pt>
                <c:pt idx="563">
                  <c:v>308</c:v>
                </c:pt>
                <c:pt idx="564">
                  <c:v>315</c:v>
                </c:pt>
                <c:pt idx="565">
                  <c:v>330</c:v>
                </c:pt>
                <c:pt idx="566">
                  <c:v>368</c:v>
                </c:pt>
                <c:pt idx="567">
                  <c:v>363</c:v>
                </c:pt>
                <c:pt idx="568">
                  <c:v>360</c:v>
                </c:pt>
                <c:pt idx="569">
                  <c:v>364</c:v>
                </c:pt>
                <c:pt idx="570">
                  <c:v>360</c:v>
                </c:pt>
                <c:pt idx="571">
                  <c:v>370</c:v>
                </c:pt>
                <c:pt idx="572">
                  <c:v>378</c:v>
                </c:pt>
                <c:pt idx="573">
                  <c:v>388</c:v>
                </c:pt>
                <c:pt idx="574">
                  <c:v>390</c:v>
                </c:pt>
                <c:pt idx="575">
                  <c:v>393</c:v>
                </c:pt>
                <c:pt idx="576">
                  <c:v>425</c:v>
                </c:pt>
                <c:pt idx="577">
                  <c:v>443</c:v>
                </c:pt>
                <c:pt idx="578">
                  <c:v>450</c:v>
                </c:pt>
                <c:pt idx="579">
                  <c:v>494</c:v>
                </c:pt>
                <c:pt idx="580">
                  <c:v>509</c:v>
                </c:pt>
                <c:pt idx="581">
                  <c:v>509</c:v>
                </c:pt>
                <c:pt idx="582">
                  <c:v>516</c:v>
                </c:pt>
                <c:pt idx="583">
                  <c:v>528</c:v>
                </c:pt>
                <c:pt idx="584">
                  <c:v>485</c:v>
                </c:pt>
                <c:pt idx="585">
                  <c:v>475</c:v>
                </c:pt>
                <c:pt idx="586">
                  <c:v>455</c:v>
                </c:pt>
                <c:pt idx="587">
                  <c:v>443</c:v>
                </c:pt>
                <c:pt idx="588">
                  <c:v>435</c:v>
                </c:pt>
                <c:pt idx="589">
                  <c:v>400</c:v>
                </c:pt>
                <c:pt idx="590">
                  <c:v>368</c:v>
                </c:pt>
                <c:pt idx="591">
                  <c:v>358</c:v>
                </c:pt>
                <c:pt idx="592">
                  <c:v>403</c:v>
                </c:pt>
                <c:pt idx="593">
                  <c:v>380</c:v>
                </c:pt>
                <c:pt idx="594">
                  <c:v>380</c:v>
                </c:pt>
                <c:pt idx="595">
                  <c:v>382</c:v>
                </c:pt>
                <c:pt idx="596">
                  <c:v>370</c:v>
                </c:pt>
                <c:pt idx="597">
                  <c:v>365</c:v>
                </c:pt>
                <c:pt idx="598">
                  <c:v>368</c:v>
                </c:pt>
                <c:pt idx="599">
                  <c:v>375</c:v>
                </c:pt>
                <c:pt idx="600">
                  <c:v>373</c:v>
                </c:pt>
                <c:pt idx="601">
                  <c:v>379</c:v>
                </c:pt>
                <c:pt idx="602">
                  <c:v>385</c:v>
                </c:pt>
                <c:pt idx="603">
                  <c:v>385</c:v>
                </c:pt>
                <c:pt idx="604">
                  <c:v>390</c:v>
                </c:pt>
                <c:pt idx="605">
                  <c:v>403</c:v>
                </c:pt>
                <c:pt idx="606">
                  <c:v>400</c:v>
                </c:pt>
                <c:pt idx="607">
                  <c:v>384</c:v>
                </c:pt>
                <c:pt idx="608">
                  <c:v>378</c:v>
                </c:pt>
                <c:pt idx="609">
                  <c:v>365</c:v>
                </c:pt>
                <c:pt idx="610">
                  <c:v>359</c:v>
                </c:pt>
                <c:pt idx="611">
                  <c:v>367</c:v>
                </c:pt>
                <c:pt idx="612">
                  <c:v>365</c:v>
                </c:pt>
                <c:pt idx="613">
                  <c:v>369</c:v>
                </c:pt>
                <c:pt idx="614">
                  <c:v>368</c:v>
                </c:pt>
                <c:pt idx="615">
                  <c:v>367</c:v>
                </c:pt>
                <c:pt idx="616">
                  <c:v>365</c:v>
                </c:pt>
                <c:pt idx="617">
                  <c:v>367</c:v>
                </c:pt>
                <c:pt idx="618">
                  <c:v>370</c:v>
                </c:pt>
                <c:pt idx="619">
                  <c:v>378</c:v>
                </c:pt>
                <c:pt idx="620">
                  <c:v>385</c:v>
                </c:pt>
                <c:pt idx="621">
                  <c:v>400</c:v>
                </c:pt>
                <c:pt idx="622">
                  <c:v>413</c:v>
                </c:pt>
                <c:pt idx="623">
                  <c:v>415</c:v>
                </c:pt>
                <c:pt idx="624">
                  <c:v>388</c:v>
                </c:pt>
                <c:pt idx="625">
                  <c:v>380</c:v>
                </c:pt>
                <c:pt idx="626">
                  <c:v>380</c:v>
                </c:pt>
                <c:pt idx="627">
                  <c:v>378</c:v>
                </c:pt>
                <c:pt idx="628">
                  <c:v>373</c:v>
                </c:pt>
                <c:pt idx="629">
                  <c:v>373</c:v>
                </c:pt>
                <c:pt idx="630">
                  <c:v>373</c:v>
                </c:pt>
                <c:pt idx="631">
                  <c:v>353</c:v>
                </c:pt>
                <c:pt idx="632">
                  <c:v>346</c:v>
                </c:pt>
                <c:pt idx="633">
                  <c:v>354</c:v>
                </c:pt>
                <c:pt idx="634">
                  <c:v>348</c:v>
                </c:pt>
                <c:pt idx="635">
                  <c:v>343</c:v>
                </c:pt>
                <c:pt idx="636">
                  <c:v>340</c:v>
                </c:pt>
                <c:pt idx="637">
                  <c:v>338</c:v>
                </c:pt>
                <c:pt idx="638">
                  <c:v>338</c:v>
                </c:pt>
                <c:pt idx="639">
                  <c:v>328</c:v>
                </c:pt>
                <c:pt idx="640">
                  <c:v>305</c:v>
                </c:pt>
                <c:pt idx="641">
                  <c:v>308</c:v>
                </c:pt>
                <c:pt idx="642">
                  <c:v>308</c:v>
                </c:pt>
                <c:pt idx="643">
                  <c:v>318</c:v>
                </c:pt>
                <c:pt idx="644">
                  <c:v>318</c:v>
                </c:pt>
                <c:pt idx="645">
                  <c:v>323</c:v>
                </c:pt>
                <c:pt idx="646">
                  <c:v>322</c:v>
                </c:pt>
                <c:pt idx="647">
                  <c:v>319</c:v>
                </c:pt>
                <c:pt idx="648">
                  <c:v>313</c:v>
                </c:pt>
                <c:pt idx="649">
                  <c:v>299</c:v>
                </c:pt>
                <c:pt idx="650">
                  <c:v>290</c:v>
                </c:pt>
                <c:pt idx="651">
                  <c:v>281</c:v>
                </c:pt>
                <c:pt idx="652">
                  <c:v>271</c:v>
                </c:pt>
                <c:pt idx="653">
                  <c:v>275</c:v>
                </c:pt>
                <c:pt idx="654">
                  <c:v>274</c:v>
                </c:pt>
                <c:pt idx="655">
                  <c:v>278</c:v>
                </c:pt>
                <c:pt idx="656">
                  <c:v>280</c:v>
                </c:pt>
                <c:pt idx="657">
                  <c:v>283</c:v>
                </c:pt>
                <c:pt idx="658">
                  <c:v>286</c:v>
                </c:pt>
                <c:pt idx="659">
                  <c:v>286</c:v>
                </c:pt>
                <c:pt idx="660">
                  <c:v>293</c:v>
                </c:pt>
                <c:pt idx="661">
                  <c:v>301</c:v>
                </c:pt>
                <c:pt idx="662">
                  <c:v>303</c:v>
                </c:pt>
                <c:pt idx="663">
                  <c:v>300</c:v>
                </c:pt>
                <c:pt idx="664">
                  <c:v>308</c:v>
                </c:pt>
                <c:pt idx="665">
                  <c:v>313</c:v>
                </c:pt>
                <c:pt idx="666">
                  <c:v>323</c:v>
                </c:pt>
                <c:pt idx="667">
                  <c:v>333</c:v>
                </c:pt>
                <c:pt idx="668">
                  <c:v>333</c:v>
                </c:pt>
                <c:pt idx="669">
                  <c:v>324</c:v>
                </c:pt>
                <c:pt idx="670">
                  <c:v>325</c:v>
                </c:pt>
                <c:pt idx="671">
                  <c:v>335</c:v>
                </c:pt>
                <c:pt idx="672">
                  <c:v>360</c:v>
                </c:pt>
                <c:pt idx="673">
                  <c:v>354</c:v>
                </c:pt>
                <c:pt idx="674">
                  <c:v>352</c:v>
                </c:pt>
                <c:pt idx="675">
                  <c:v>338</c:v>
                </c:pt>
                <c:pt idx="676">
                  <c:v>333</c:v>
                </c:pt>
                <c:pt idx="677">
                  <c:v>325</c:v>
                </c:pt>
                <c:pt idx="678">
                  <c:v>323</c:v>
                </c:pt>
                <c:pt idx="679">
                  <c:v>315</c:v>
                </c:pt>
                <c:pt idx="680">
                  <c:v>308</c:v>
                </c:pt>
                <c:pt idx="681">
                  <c:v>300</c:v>
                </c:pt>
                <c:pt idx="682">
                  <c:v>290</c:v>
                </c:pt>
                <c:pt idx="683">
                  <c:v>287</c:v>
                </c:pt>
                <c:pt idx="684">
                  <c:v>291</c:v>
                </c:pt>
                <c:pt idx="685">
                  <c:v>293</c:v>
                </c:pt>
                <c:pt idx="686">
                  <c:v>297</c:v>
                </c:pt>
                <c:pt idx="687">
                  <c:v>297</c:v>
                </c:pt>
                <c:pt idx="688">
                  <c:v>297</c:v>
                </c:pt>
                <c:pt idx="689">
                  <c:v>288</c:v>
                </c:pt>
                <c:pt idx="690">
                  <c:v>295</c:v>
                </c:pt>
                <c:pt idx="691">
                  <c:v>295</c:v>
                </c:pt>
                <c:pt idx="692">
                  <c:v>300</c:v>
                </c:pt>
                <c:pt idx="693">
                  <c:v>300</c:v>
                </c:pt>
                <c:pt idx="694">
                  <c:v>300</c:v>
                </c:pt>
                <c:pt idx="695">
                  <c:v>303</c:v>
                </c:pt>
                <c:pt idx="696">
                  <c:v>302</c:v>
                </c:pt>
                <c:pt idx="697">
                  <c:v>293</c:v>
                </c:pt>
                <c:pt idx="698">
                  <c:v>295</c:v>
                </c:pt>
                <c:pt idx="699">
                  <c:v>305</c:v>
                </c:pt>
                <c:pt idx="700">
                  <c:v>308</c:v>
                </c:pt>
                <c:pt idx="701">
                  <c:v>311</c:v>
                </c:pt>
                <c:pt idx="702">
                  <c:v>324</c:v>
                </c:pt>
                <c:pt idx="703">
                  <c:v>330</c:v>
                </c:pt>
                <c:pt idx="704">
                  <c:v>333</c:v>
                </c:pt>
                <c:pt idx="705">
                  <c:v>330</c:v>
                </c:pt>
                <c:pt idx="706">
                  <c:v>328</c:v>
                </c:pt>
                <c:pt idx="707">
                  <c:v>320</c:v>
                </c:pt>
                <c:pt idx="708">
                  <c:v>320</c:v>
                </c:pt>
                <c:pt idx="709">
                  <c:v>320</c:v>
                </c:pt>
                <c:pt idx="710">
                  <c:v>320</c:v>
                </c:pt>
                <c:pt idx="711">
                  <c:v>318</c:v>
                </c:pt>
                <c:pt idx="712">
                  <c:v>318</c:v>
                </c:pt>
                <c:pt idx="713">
                  <c:v>312</c:v>
                </c:pt>
                <c:pt idx="714">
                  <c:v>312</c:v>
                </c:pt>
                <c:pt idx="715">
                  <c:v>307</c:v>
                </c:pt>
                <c:pt idx="716">
                  <c:v>303</c:v>
                </c:pt>
                <c:pt idx="717">
                  <c:v>300</c:v>
                </c:pt>
                <c:pt idx="718">
                  <c:v>305</c:v>
                </c:pt>
                <c:pt idx="719">
                  <c:v>315</c:v>
                </c:pt>
                <c:pt idx="720">
                  <c:v>315</c:v>
                </c:pt>
                <c:pt idx="721">
                  <c:v>318</c:v>
                </c:pt>
                <c:pt idx="722">
                  <c:v>313</c:v>
                </c:pt>
                <c:pt idx="723">
                  <c:v>313</c:v>
                </c:pt>
                <c:pt idx="724">
                  <c:v>303</c:v>
                </c:pt>
                <c:pt idx="725">
                  <c:v>303</c:v>
                </c:pt>
                <c:pt idx="726">
                  <c:v>296</c:v>
                </c:pt>
                <c:pt idx="727">
                  <c:v>291</c:v>
                </c:pt>
                <c:pt idx="728">
                  <c:v>285</c:v>
                </c:pt>
                <c:pt idx="729">
                  <c:v>276</c:v>
                </c:pt>
                <c:pt idx="730">
                  <c:v>271</c:v>
                </c:pt>
                <c:pt idx="731">
                  <c:v>261</c:v>
                </c:pt>
                <c:pt idx="732">
                  <c:v>261</c:v>
                </c:pt>
                <c:pt idx="733">
                  <c:v>258</c:v>
                </c:pt>
                <c:pt idx="734">
                  <c:v>250</c:v>
                </c:pt>
                <c:pt idx="735">
                  <c:v>248</c:v>
                </c:pt>
                <c:pt idx="736">
                  <c:v>251</c:v>
                </c:pt>
                <c:pt idx="737">
                  <c:v>260</c:v>
                </c:pt>
                <c:pt idx="738">
                  <c:v>268</c:v>
                </c:pt>
                <c:pt idx="739">
                  <c:v>276</c:v>
                </c:pt>
                <c:pt idx="740">
                  <c:v>281</c:v>
                </c:pt>
                <c:pt idx="741">
                  <c:v>283</c:v>
                </c:pt>
                <c:pt idx="742">
                  <c:v>291</c:v>
                </c:pt>
                <c:pt idx="743">
                  <c:v>288</c:v>
                </c:pt>
                <c:pt idx="744">
                  <c:v>288</c:v>
                </c:pt>
                <c:pt idx="745">
                  <c:v>287</c:v>
                </c:pt>
                <c:pt idx="746">
                  <c:v>283</c:v>
                </c:pt>
                <c:pt idx="747">
                  <c:v>280</c:v>
                </c:pt>
                <c:pt idx="748">
                  <c:v>268</c:v>
                </c:pt>
                <c:pt idx="749">
                  <c:v>266</c:v>
                </c:pt>
                <c:pt idx="750">
                  <c:v>262</c:v>
                </c:pt>
                <c:pt idx="751">
                  <c:v>268</c:v>
                </c:pt>
                <c:pt idx="752">
                  <c:v>273</c:v>
                </c:pt>
                <c:pt idx="753">
                  <c:v>271</c:v>
                </c:pt>
                <c:pt idx="754">
                  <c:v>269</c:v>
                </c:pt>
                <c:pt idx="755">
                  <c:v>264</c:v>
                </c:pt>
                <c:pt idx="756">
                  <c:v>260</c:v>
                </c:pt>
                <c:pt idx="757">
                  <c:v>253</c:v>
                </c:pt>
                <c:pt idx="758">
                  <c:v>245</c:v>
                </c:pt>
                <c:pt idx="759">
                  <c:v>244</c:v>
                </c:pt>
                <c:pt idx="760">
                  <c:v>246</c:v>
                </c:pt>
                <c:pt idx="761">
                  <c:v>249</c:v>
                </c:pt>
                <c:pt idx="762">
                  <c:v>252</c:v>
                </c:pt>
                <c:pt idx="763">
                  <c:v>258</c:v>
                </c:pt>
                <c:pt idx="764">
                  <c:v>260</c:v>
                </c:pt>
                <c:pt idx="765">
                  <c:v>261</c:v>
                </c:pt>
                <c:pt idx="766">
                  <c:v>256</c:v>
                </c:pt>
                <c:pt idx="767">
                  <c:v>246</c:v>
                </c:pt>
                <c:pt idx="768">
                  <c:v>238</c:v>
                </c:pt>
                <c:pt idx="769">
                  <c:v>239</c:v>
                </c:pt>
                <c:pt idx="770">
                  <c:v>235</c:v>
                </c:pt>
                <c:pt idx="771">
                  <c:v>232</c:v>
                </c:pt>
                <c:pt idx="772">
                  <c:v>232</c:v>
                </c:pt>
                <c:pt idx="773">
                  <c:v>227</c:v>
                </c:pt>
                <c:pt idx="774">
                  <c:v>220</c:v>
                </c:pt>
                <c:pt idx="775">
                  <c:v>206</c:v>
                </c:pt>
                <c:pt idx="776">
                  <c:v>184</c:v>
                </c:pt>
                <c:pt idx="777">
                  <c:v>191</c:v>
                </c:pt>
                <c:pt idx="778">
                  <c:v>191</c:v>
                </c:pt>
                <c:pt idx="779">
                  <c:v>203</c:v>
                </c:pt>
                <c:pt idx="780">
                  <c:v>211</c:v>
                </c:pt>
                <c:pt idx="781">
                  <c:v>206</c:v>
                </c:pt>
                <c:pt idx="782">
                  <c:v>196</c:v>
                </c:pt>
                <c:pt idx="783">
                  <c:v>187</c:v>
                </c:pt>
                <c:pt idx="784">
                  <c:v>187</c:v>
                </c:pt>
                <c:pt idx="785">
                  <c:v>194</c:v>
                </c:pt>
                <c:pt idx="786">
                  <c:v>198</c:v>
                </c:pt>
                <c:pt idx="787">
                  <c:v>200</c:v>
                </c:pt>
                <c:pt idx="788">
                  <c:v>202</c:v>
                </c:pt>
                <c:pt idx="789">
                  <c:v>202</c:v>
                </c:pt>
                <c:pt idx="790">
                  <c:v>199</c:v>
                </c:pt>
                <c:pt idx="791">
                  <c:v>197</c:v>
                </c:pt>
                <c:pt idx="792">
                  <c:v>196</c:v>
                </c:pt>
                <c:pt idx="793">
                  <c:v>188</c:v>
                </c:pt>
                <c:pt idx="794">
                  <c:v>191</c:v>
                </c:pt>
                <c:pt idx="795">
                  <c:v>191</c:v>
                </c:pt>
                <c:pt idx="796">
                  <c:v>191</c:v>
                </c:pt>
                <c:pt idx="797">
                  <c:v>186</c:v>
                </c:pt>
                <c:pt idx="798">
                  <c:v>187</c:v>
                </c:pt>
                <c:pt idx="799">
                  <c:v>182</c:v>
                </c:pt>
                <c:pt idx="800">
                  <c:v>175</c:v>
                </c:pt>
                <c:pt idx="801">
                  <c:v>174</c:v>
                </c:pt>
                <c:pt idx="802">
                  <c:v>176</c:v>
                </c:pt>
                <c:pt idx="803">
                  <c:v>177</c:v>
                </c:pt>
                <c:pt idx="804">
                  <c:v>180</c:v>
                </c:pt>
                <c:pt idx="805">
                  <c:v>182</c:v>
                </c:pt>
                <c:pt idx="806">
                  <c:v>184</c:v>
                </c:pt>
                <c:pt idx="807">
                  <c:v>187</c:v>
                </c:pt>
                <c:pt idx="808">
                  <c:v>189</c:v>
                </c:pt>
                <c:pt idx="809">
                  <c:v>189</c:v>
                </c:pt>
                <c:pt idx="810">
                  <c:v>189</c:v>
                </c:pt>
                <c:pt idx="811">
                  <c:v>189</c:v>
                </c:pt>
                <c:pt idx="812">
                  <c:v>187</c:v>
                </c:pt>
                <c:pt idx="813">
                  <c:v>187</c:v>
                </c:pt>
                <c:pt idx="814">
                  <c:v>191</c:v>
                </c:pt>
                <c:pt idx="815">
                  <c:v>191</c:v>
                </c:pt>
                <c:pt idx="816">
                  <c:v>195</c:v>
                </c:pt>
                <c:pt idx="817">
                  <c:v>208</c:v>
                </c:pt>
                <c:pt idx="818">
                  <c:v>221</c:v>
                </c:pt>
                <c:pt idx="819">
                  <c:v>220</c:v>
                </c:pt>
                <c:pt idx="820">
                  <c:v>208</c:v>
                </c:pt>
                <c:pt idx="821">
                  <c:v>213</c:v>
                </c:pt>
                <c:pt idx="822">
                  <c:v>214</c:v>
                </c:pt>
                <c:pt idx="823">
                  <c:v>221</c:v>
                </c:pt>
                <c:pt idx="824">
                  <c:v>222</c:v>
                </c:pt>
                <c:pt idx="825">
                  <c:v>231</c:v>
                </c:pt>
                <c:pt idx="826">
                  <c:v>247</c:v>
                </c:pt>
                <c:pt idx="827">
                  <c:v>248</c:v>
                </c:pt>
                <c:pt idx="828">
                  <c:v>250</c:v>
                </c:pt>
              </c:strCache>
            </c:strRef>
          </c:xVal>
          <c:yVal>
            <c:numRef>
              <c:f>model!$AB$183:$AB$1011</c:f>
              <c:numCache>
                <c:formatCode>0</c:formatCode>
                <c:ptCount val="829"/>
                <c:pt idx="0">
                  <c:v>51.5</c:v>
                </c:pt>
                <c:pt idx="1">
                  <c:v>51.5</c:v>
                </c:pt>
                <c:pt idx="2">
                  <c:v>51.5</c:v>
                </c:pt>
                <c:pt idx="3">
                  <c:v>51</c:v>
                </c:pt>
                <c:pt idx="4">
                  <c:v>52</c:v>
                </c:pt>
                <c:pt idx="5">
                  <c:v>55</c:v>
                </c:pt>
                <c:pt idx="6">
                  <c:v>54.5</c:v>
                </c:pt>
                <c:pt idx="7">
                  <c:v>52.5</c:v>
                </c:pt>
                <c:pt idx="8">
                  <c:v>58.5</c:v>
                </c:pt>
                <c:pt idx="9">
                  <c:v>63.5</c:v>
                </c:pt>
                <c:pt idx="10">
                  <c:v>70</c:v>
                </c:pt>
                <c:pt idx="11">
                  <c:v>71</c:v>
                </c:pt>
                <c:pt idx="12">
                  <c:v>72</c:v>
                </c:pt>
                <c:pt idx="13">
                  <c:v>74.5</c:v>
                </c:pt>
                <c:pt idx="14">
                  <c:v>80</c:v>
                </c:pt>
                <c:pt idx="15">
                  <c:v>79</c:v>
                </c:pt>
                <c:pt idx="16">
                  <c:v>75.5</c:v>
                </c:pt>
                <c:pt idx="17">
                  <c:v>72.5</c:v>
                </c:pt>
                <c:pt idx="18">
                  <c:v>71.5</c:v>
                </c:pt>
                <c:pt idx="19">
                  <c:v>71.5</c:v>
                </c:pt>
                <c:pt idx="20">
                  <c:v>66.5</c:v>
                </c:pt>
                <c:pt idx="21">
                  <c:v>67.5</c:v>
                </c:pt>
                <c:pt idx="22">
                  <c:v>64.5</c:v>
                </c:pt>
                <c:pt idx="23">
                  <c:v>63.5</c:v>
                </c:pt>
                <c:pt idx="24">
                  <c:v>62.5</c:v>
                </c:pt>
                <c:pt idx="25">
                  <c:v>57.5</c:v>
                </c:pt>
                <c:pt idx="26">
                  <c:v>57.5</c:v>
                </c:pt>
                <c:pt idx="27">
                  <c:v>57.5</c:v>
                </c:pt>
                <c:pt idx="28">
                  <c:v>58</c:v>
                </c:pt>
                <c:pt idx="29">
                  <c:v>60</c:v>
                </c:pt>
                <c:pt idx="30">
                  <c:v>63</c:v>
                </c:pt>
                <c:pt idx="31">
                  <c:v>76.5</c:v>
                </c:pt>
                <c:pt idx="32">
                  <c:v>82.5</c:v>
                </c:pt>
                <c:pt idx="33">
                  <c:v>100</c:v>
                </c:pt>
                <c:pt idx="34">
                  <c:v>107.5</c:v>
                </c:pt>
                <c:pt idx="35">
                  <c:v>100</c:v>
                </c:pt>
                <c:pt idx="36">
                  <c:v>100</c:v>
                </c:pt>
                <c:pt idx="37">
                  <c:v>97.5</c:v>
                </c:pt>
                <c:pt idx="38">
                  <c:v>97.5</c:v>
                </c:pt>
                <c:pt idx="39">
                  <c:v>97.5</c:v>
                </c:pt>
                <c:pt idx="40">
                  <c:v>97.5</c:v>
                </c:pt>
                <c:pt idx="41">
                  <c:v>97.5</c:v>
                </c:pt>
                <c:pt idx="42">
                  <c:v>91.5</c:v>
                </c:pt>
                <c:pt idx="43">
                  <c:v>90.5</c:v>
                </c:pt>
                <c:pt idx="44">
                  <c:v>82.5</c:v>
                </c:pt>
                <c:pt idx="45">
                  <c:v>79</c:v>
                </c:pt>
                <c:pt idx="46">
                  <c:v>76</c:v>
                </c:pt>
                <c:pt idx="47">
                  <c:v>76</c:v>
                </c:pt>
                <c:pt idx="48">
                  <c:v>61</c:v>
                </c:pt>
                <c:pt idx="49">
                  <c:v>60.5</c:v>
                </c:pt>
                <c:pt idx="50">
                  <c:v>60.5</c:v>
                </c:pt>
                <c:pt idx="51">
                  <c:v>50</c:v>
                </c:pt>
                <c:pt idx="52">
                  <c:v>50</c:v>
                </c:pt>
                <c:pt idx="53">
                  <c:v>48</c:v>
                </c:pt>
                <c:pt idx="54">
                  <c:v>48</c:v>
                </c:pt>
                <c:pt idx="55">
                  <c:v>55</c:v>
                </c:pt>
                <c:pt idx="56">
                  <c:v>55.5</c:v>
                </c:pt>
                <c:pt idx="57">
                  <c:v>57</c:v>
                </c:pt>
                <c:pt idx="58">
                  <c:v>57</c:v>
                </c:pt>
                <c:pt idx="59">
                  <c:v>60</c:v>
                </c:pt>
                <c:pt idx="60">
                  <c:v>60</c:v>
                </c:pt>
                <c:pt idx="61">
                  <c:v>58.5</c:v>
                </c:pt>
                <c:pt idx="62">
                  <c:v>58.5</c:v>
                </c:pt>
                <c:pt idx="63">
                  <c:v>58.5</c:v>
                </c:pt>
                <c:pt idx="64">
                  <c:v>56.5</c:v>
                </c:pt>
                <c:pt idx="65">
                  <c:v>0</c:v>
                </c:pt>
                <c:pt idx="66">
                  <c:v>56.5</c:v>
                </c:pt>
                <c:pt idx="67">
                  <c:v>52</c:v>
                </c:pt>
                <c:pt idx="68">
                  <c:v>57</c:v>
                </c:pt>
                <c:pt idx="69">
                  <c:v>59.5</c:v>
                </c:pt>
                <c:pt idx="70">
                  <c:v>62</c:v>
                </c:pt>
                <c:pt idx="71">
                  <c:v>59</c:v>
                </c:pt>
                <c:pt idx="72">
                  <c:v>59</c:v>
                </c:pt>
                <c:pt idx="73">
                  <c:v>58</c:v>
                </c:pt>
                <c:pt idx="74">
                  <c:v>60</c:v>
                </c:pt>
                <c:pt idx="75">
                  <c:v>61.5</c:v>
                </c:pt>
                <c:pt idx="76">
                  <c:v>62</c:v>
                </c:pt>
                <c:pt idx="77">
                  <c:v>62</c:v>
                </c:pt>
                <c:pt idx="78">
                  <c:v>64.5</c:v>
                </c:pt>
                <c:pt idx="79">
                  <c:v>67</c:v>
                </c:pt>
                <c:pt idx="80">
                  <c:v>67</c:v>
                </c:pt>
                <c:pt idx="81">
                  <c:v>67</c:v>
                </c:pt>
                <c:pt idx="82">
                  <c:v>83</c:v>
                </c:pt>
                <c:pt idx="83">
                  <c:v>83</c:v>
                </c:pt>
                <c:pt idx="84">
                  <c:v>83</c:v>
                </c:pt>
                <c:pt idx="85">
                  <c:v>79</c:v>
                </c:pt>
                <c:pt idx="86">
                  <c:v>77.5</c:v>
                </c:pt>
                <c:pt idx="87">
                  <c:v>77.5</c:v>
                </c:pt>
                <c:pt idx="88">
                  <c:v>77.5</c:v>
                </c:pt>
                <c:pt idx="89">
                  <c:v>77.5</c:v>
                </c:pt>
                <c:pt idx="90">
                  <c:v>77.5</c:v>
                </c:pt>
                <c:pt idx="91">
                  <c:v>76</c:v>
                </c:pt>
                <c:pt idx="92">
                  <c:v>75.5</c:v>
                </c:pt>
                <c:pt idx="93">
                  <c:v>75.5</c:v>
                </c:pt>
                <c:pt idx="94">
                  <c:v>66</c:v>
                </c:pt>
                <c:pt idx="95">
                  <c:v>64</c:v>
                </c:pt>
                <c:pt idx="96">
                  <c:v>65</c:v>
                </c:pt>
                <c:pt idx="97">
                  <c:v>65</c:v>
                </c:pt>
                <c:pt idx="98">
                  <c:v>62</c:v>
                </c:pt>
                <c:pt idx="99">
                  <c:v>61</c:v>
                </c:pt>
                <c:pt idx="100">
                  <c:v>62.5</c:v>
                </c:pt>
                <c:pt idx="101">
                  <c:v>63.5</c:v>
                </c:pt>
                <c:pt idx="102">
                  <c:v>64</c:v>
                </c:pt>
                <c:pt idx="103">
                  <c:v>64</c:v>
                </c:pt>
                <c:pt idx="104">
                  <c:v>64</c:v>
                </c:pt>
                <c:pt idx="105">
                  <c:v>64</c:v>
                </c:pt>
                <c:pt idx="106">
                  <c:v>64</c:v>
                </c:pt>
                <c:pt idx="107">
                  <c:v>62</c:v>
                </c:pt>
                <c:pt idx="108">
                  <c:v>61.5</c:v>
                </c:pt>
                <c:pt idx="109">
                  <c:v>59.5</c:v>
                </c:pt>
                <c:pt idx="110">
                  <c:v>61</c:v>
                </c:pt>
                <c:pt idx="111">
                  <c:v>60.5</c:v>
                </c:pt>
                <c:pt idx="112">
                  <c:v>64</c:v>
                </c:pt>
                <c:pt idx="113">
                  <c:v>64</c:v>
                </c:pt>
                <c:pt idx="114">
                  <c:v>64</c:v>
                </c:pt>
                <c:pt idx="115">
                  <c:v>64</c:v>
                </c:pt>
                <c:pt idx="116">
                  <c:v>64</c:v>
                </c:pt>
                <c:pt idx="117">
                  <c:v>59.5</c:v>
                </c:pt>
                <c:pt idx="118">
                  <c:v>59.5</c:v>
                </c:pt>
                <c:pt idx="119">
                  <c:v>59.5</c:v>
                </c:pt>
                <c:pt idx="120">
                  <c:v>61</c:v>
                </c:pt>
                <c:pt idx="121">
                  <c:v>61</c:v>
                </c:pt>
                <c:pt idx="122">
                  <c:v>60.5</c:v>
                </c:pt>
                <c:pt idx="123">
                  <c:v>58</c:v>
                </c:pt>
                <c:pt idx="124">
                  <c:v>56</c:v>
                </c:pt>
                <c:pt idx="125">
                  <c:v>56</c:v>
                </c:pt>
                <c:pt idx="126">
                  <c:v>56</c:v>
                </c:pt>
                <c:pt idx="127">
                  <c:v>64</c:v>
                </c:pt>
                <c:pt idx="128">
                  <c:v>62</c:v>
                </c:pt>
                <c:pt idx="129">
                  <c:v>62</c:v>
                </c:pt>
                <c:pt idx="130">
                  <c:v>64</c:v>
                </c:pt>
                <c:pt idx="131">
                  <c:v>67.5</c:v>
                </c:pt>
                <c:pt idx="132">
                  <c:v>67.5</c:v>
                </c:pt>
                <c:pt idx="133">
                  <c:v>67.5</c:v>
                </c:pt>
                <c:pt idx="134">
                  <c:v>67.5</c:v>
                </c:pt>
                <c:pt idx="135">
                  <c:v>77.5</c:v>
                </c:pt>
                <c:pt idx="136">
                  <c:v>87.5</c:v>
                </c:pt>
                <c:pt idx="137">
                  <c:v>87.5</c:v>
                </c:pt>
                <c:pt idx="138">
                  <c:v>96.5</c:v>
                </c:pt>
                <c:pt idx="139">
                  <c:v>97.5</c:v>
                </c:pt>
                <c:pt idx="140">
                  <c:v>99</c:v>
                </c:pt>
                <c:pt idx="141">
                  <c:v>99</c:v>
                </c:pt>
                <c:pt idx="142">
                  <c:v>99</c:v>
                </c:pt>
                <c:pt idx="143">
                  <c:v>92.5</c:v>
                </c:pt>
                <c:pt idx="144">
                  <c:v>91</c:v>
                </c:pt>
                <c:pt idx="145">
                  <c:v>91</c:v>
                </c:pt>
                <c:pt idx="146">
                  <c:v>89.5</c:v>
                </c:pt>
                <c:pt idx="147">
                  <c:v>67.5</c:v>
                </c:pt>
                <c:pt idx="148">
                  <c:v>63.5</c:v>
                </c:pt>
                <c:pt idx="149">
                  <c:v>62.5</c:v>
                </c:pt>
                <c:pt idx="150">
                  <c:v>69</c:v>
                </c:pt>
                <c:pt idx="151">
                  <c:v>69</c:v>
                </c:pt>
                <c:pt idx="152">
                  <c:v>67.5</c:v>
                </c:pt>
                <c:pt idx="153">
                  <c:v>70</c:v>
                </c:pt>
                <c:pt idx="154">
                  <c:v>69</c:v>
                </c:pt>
                <c:pt idx="155">
                  <c:v>69</c:v>
                </c:pt>
                <c:pt idx="156">
                  <c:v>73</c:v>
                </c:pt>
                <c:pt idx="157">
                  <c:v>73</c:v>
                </c:pt>
                <c:pt idx="158">
                  <c:v>82.5</c:v>
                </c:pt>
                <c:pt idx="159">
                  <c:v>84</c:v>
                </c:pt>
                <c:pt idx="160">
                  <c:v>81</c:v>
                </c:pt>
                <c:pt idx="161">
                  <c:v>81</c:v>
                </c:pt>
                <c:pt idx="162">
                  <c:v>80.5</c:v>
                </c:pt>
                <c:pt idx="163">
                  <c:v>83</c:v>
                </c:pt>
                <c:pt idx="164">
                  <c:v>84.5</c:v>
                </c:pt>
                <c:pt idx="165">
                  <c:v>91</c:v>
                </c:pt>
                <c:pt idx="166">
                  <c:v>91</c:v>
                </c:pt>
                <c:pt idx="167">
                  <c:v>91</c:v>
                </c:pt>
                <c:pt idx="168">
                  <c:v>92</c:v>
                </c:pt>
                <c:pt idx="169">
                  <c:v>96</c:v>
                </c:pt>
                <c:pt idx="170">
                  <c:v>97.5</c:v>
                </c:pt>
                <c:pt idx="171">
                  <c:v>103.5</c:v>
                </c:pt>
                <c:pt idx="172">
                  <c:v>116</c:v>
                </c:pt>
                <c:pt idx="173">
                  <c:v>117</c:v>
                </c:pt>
                <c:pt idx="174">
                  <c:v>117</c:v>
                </c:pt>
                <c:pt idx="175">
                  <c:v>117</c:v>
                </c:pt>
                <c:pt idx="176">
                  <c:v>115</c:v>
                </c:pt>
                <c:pt idx="177">
                  <c:v>114</c:v>
                </c:pt>
                <c:pt idx="178">
                  <c:v>112.5</c:v>
                </c:pt>
                <c:pt idx="179">
                  <c:v>112.5</c:v>
                </c:pt>
                <c:pt idx="180">
                  <c:v>116</c:v>
                </c:pt>
                <c:pt idx="181">
                  <c:v>119</c:v>
                </c:pt>
                <c:pt idx="182">
                  <c:v>121</c:v>
                </c:pt>
                <c:pt idx="183">
                  <c:v>125.5</c:v>
                </c:pt>
                <c:pt idx="184">
                  <c:v>127.5</c:v>
                </c:pt>
                <c:pt idx="185">
                  <c:v>130</c:v>
                </c:pt>
                <c:pt idx="186">
                  <c:v>132.5</c:v>
                </c:pt>
                <c:pt idx="187">
                  <c:v>130</c:v>
                </c:pt>
                <c:pt idx="188">
                  <c:v>119</c:v>
                </c:pt>
                <c:pt idx="189">
                  <c:v>117.5</c:v>
                </c:pt>
                <c:pt idx="190">
                  <c:v>117.5</c:v>
                </c:pt>
                <c:pt idx="191">
                  <c:v>116.5</c:v>
                </c:pt>
                <c:pt idx="192">
                  <c:v>125</c:v>
                </c:pt>
                <c:pt idx="193">
                  <c:v>125</c:v>
                </c:pt>
                <c:pt idx="194">
                  <c:v>125</c:v>
                </c:pt>
                <c:pt idx="195">
                  <c:v>131</c:v>
                </c:pt>
                <c:pt idx="196">
                  <c:v>131</c:v>
                </c:pt>
                <c:pt idx="197">
                  <c:v>112.5</c:v>
                </c:pt>
                <c:pt idx="198">
                  <c:v>100</c:v>
                </c:pt>
                <c:pt idx="199">
                  <c:v>95</c:v>
                </c:pt>
                <c:pt idx="200">
                  <c:v>92</c:v>
                </c:pt>
                <c:pt idx="201">
                  <c:v>90</c:v>
                </c:pt>
                <c:pt idx="202">
                  <c:v>89</c:v>
                </c:pt>
                <c:pt idx="203">
                  <c:v>97.5</c:v>
                </c:pt>
                <c:pt idx="204">
                  <c:v>116.5</c:v>
                </c:pt>
                <c:pt idx="205">
                  <c:v>118.5</c:v>
                </c:pt>
                <c:pt idx="206">
                  <c:v>120</c:v>
                </c:pt>
                <c:pt idx="207">
                  <c:v>120.5</c:v>
                </c:pt>
                <c:pt idx="208">
                  <c:v>120</c:v>
                </c:pt>
                <c:pt idx="209">
                  <c:v>112.5</c:v>
                </c:pt>
                <c:pt idx="210">
                  <c:v>128.5</c:v>
                </c:pt>
                <c:pt idx="211">
                  <c:v>128.5</c:v>
                </c:pt>
                <c:pt idx="212">
                  <c:v>123</c:v>
                </c:pt>
                <c:pt idx="213">
                  <c:v>122</c:v>
                </c:pt>
                <c:pt idx="214">
                  <c:v>129</c:v>
                </c:pt>
                <c:pt idx="215">
                  <c:v>129</c:v>
                </c:pt>
                <c:pt idx="216">
                  <c:v>126.5</c:v>
                </c:pt>
                <c:pt idx="217">
                  <c:v>126.5</c:v>
                </c:pt>
                <c:pt idx="218">
                  <c:v>126.5</c:v>
                </c:pt>
                <c:pt idx="219">
                  <c:v>131</c:v>
                </c:pt>
                <c:pt idx="220">
                  <c:v>141</c:v>
                </c:pt>
                <c:pt idx="221">
                  <c:v>148.5</c:v>
                </c:pt>
                <c:pt idx="222">
                  <c:v>149.5</c:v>
                </c:pt>
                <c:pt idx="223">
                  <c:v>155.5</c:v>
                </c:pt>
                <c:pt idx="224">
                  <c:v>156</c:v>
                </c:pt>
                <c:pt idx="225">
                  <c:v>153.5</c:v>
                </c:pt>
                <c:pt idx="226">
                  <c:v>151.5</c:v>
                </c:pt>
                <c:pt idx="227">
                  <c:v>148</c:v>
                </c:pt>
                <c:pt idx="228">
                  <c:v>148</c:v>
                </c:pt>
                <c:pt idx="229">
                  <c:v>148</c:v>
                </c:pt>
                <c:pt idx="230">
                  <c:v>148</c:v>
                </c:pt>
                <c:pt idx="231">
                  <c:v>148</c:v>
                </c:pt>
                <c:pt idx="232">
                  <c:v>137.5</c:v>
                </c:pt>
                <c:pt idx="233">
                  <c:v>137.5</c:v>
                </c:pt>
                <c:pt idx="234">
                  <c:v>125.5</c:v>
                </c:pt>
                <c:pt idx="235">
                  <c:v>135.5</c:v>
                </c:pt>
                <c:pt idx="236">
                  <c:v>128</c:v>
                </c:pt>
                <c:pt idx="237">
                  <c:v>128</c:v>
                </c:pt>
                <c:pt idx="238">
                  <c:v>128</c:v>
                </c:pt>
                <c:pt idx="239">
                  <c:v>128</c:v>
                </c:pt>
                <c:pt idx="240">
                  <c:v>142.5</c:v>
                </c:pt>
                <c:pt idx="241">
                  <c:v>151.5</c:v>
                </c:pt>
                <c:pt idx="242">
                  <c:v>155</c:v>
                </c:pt>
                <c:pt idx="243">
                  <c:v>156.5</c:v>
                </c:pt>
                <c:pt idx="244">
                  <c:v>156.5</c:v>
                </c:pt>
                <c:pt idx="245">
                  <c:v>151</c:v>
                </c:pt>
                <c:pt idx="246">
                  <c:v>237.5</c:v>
                </c:pt>
                <c:pt idx="247">
                  <c:v>146.5</c:v>
                </c:pt>
                <c:pt idx="248">
                  <c:v>142.5</c:v>
                </c:pt>
                <c:pt idx="249">
                  <c:v>141</c:v>
                </c:pt>
                <c:pt idx="250">
                  <c:v>147.5</c:v>
                </c:pt>
                <c:pt idx="251">
                  <c:v>150</c:v>
                </c:pt>
                <c:pt idx="252">
                  <c:v>150</c:v>
                </c:pt>
                <c:pt idx="253">
                  <c:v>142.5</c:v>
                </c:pt>
                <c:pt idx="254">
                  <c:v>143</c:v>
                </c:pt>
                <c:pt idx="255">
                  <c:v>142.5</c:v>
                </c:pt>
                <c:pt idx="256">
                  <c:v>107.5</c:v>
                </c:pt>
                <c:pt idx="257">
                  <c:v>102</c:v>
                </c:pt>
                <c:pt idx="258">
                  <c:v>119</c:v>
                </c:pt>
                <c:pt idx="259">
                  <c:v>116.5</c:v>
                </c:pt>
                <c:pt idx="260">
                  <c:v>112.5</c:v>
                </c:pt>
                <c:pt idx="261">
                  <c:v>120</c:v>
                </c:pt>
                <c:pt idx="262">
                  <c:v>122.5</c:v>
                </c:pt>
                <c:pt idx="263">
                  <c:v>122.5</c:v>
                </c:pt>
                <c:pt idx="264">
                  <c:v>114.5</c:v>
                </c:pt>
                <c:pt idx="265">
                  <c:v>120</c:v>
                </c:pt>
                <c:pt idx="266">
                  <c:v>119.5</c:v>
                </c:pt>
                <c:pt idx="267">
                  <c:v>135</c:v>
                </c:pt>
                <c:pt idx="268">
                  <c:v>145.5</c:v>
                </c:pt>
                <c:pt idx="269">
                  <c:v>152.5</c:v>
                </c:pt>
                <c:pt idx="270">
                  <c:v>141</c:v>
                </c:pt>
                <c:pt idx="271">
                  <c:v>141</c:v>
                </c:pt>
                <c:pt idx="272">
                  <c:v>141</c:v>
                </c:pt>
                <c:pt idx="273">
                  <c:v>141</c:v>
                </c:pt>
                <c:pt idx="274">
                  <c:v>132.5</c:v>
                </c:pt>
                <c:pt idx="275">
                  <c:v>127.5</c:v>
                </c:pt>
                <c:pt idx="276">
                  <c:v>134.5</c:v>
                </c:pt>
                <c:pt idx="277">
                  <c:v>134</c:v>
                </c:pt>
                <c:pt idx="278">
                  <c:v>134</c:v>
                </c:pt>
                <c:pt idx="279">
                  <c:v>131.5</c:v>
                </c:pt>
                <c:pt idx="280">
                  <c:v>122.5</c:v>
                </c:pt>
                <c:pt idx="281">
                  <c:v>122.5</c:v>
                </c:pt>
                <c:pt idx="282">
                  <c:v>137</c:v>
                </c:pt>
                <c:pt idx="283">
                  <c:v>136.5</c:v>
                </c:pt>
                <c:pt idx="284">
                  <c:v>132</c:v>
                </c:pt>
                <c:pt idx="285">
                  <c:v>139</c:v>
                </c:pt>
                <c:pt idx="286">
                  <c:v>145</c:v>
                </c:pt>
                <c:pt idx="287">
                  <c:v>146</c:v>
                </c:pt>
                <c:pt idx="288">
                  <c:v>145</c:v>
                </c:pt>
                <c:pt idx="289">
                  <c:v>155.5</c:v>
                </c:pt>
                <c:pt idx="290">
                  <c:v>157.5</c:v>
                </c:pt>
                <c:pt idx="291">
                  <c:v>158.5</c:v>
                </c:pt>
                <c:pt idx="292">
                  <c:v>158.5</c:v>
                </c:pt>
                <c:pt idx="293">
                  <c:v>166.5</c:v>
                </c:pt>
                <c:pt idx="294">
                  <c:v>168.5</c:v>
                </c:pt>
                <c:pt idx="295">
                  <c:v>155</c:v>
                </c:pt>
                <c:pt idx="296">
                  <c:v>142.5</c:v>
                </c:pt>
                <c:pt idx="297">
                  <c:v>137.5</c:v>
                </c:pt>
                <c:pt idx="298">
                  <c:v>135</c:v>
                </c:pt>
                <c:pt idx="299">
                  <c:v>136.5</c:v>
                </c:pt>
                <c:pt idx="300">
                  <c:v>137.5</c:v>
                </c:pt>
                <c:pt idx="301">
                  <c:v>138.5</c:v>
                </c:pt>
                <c:pt idx="302">
                  <c:v>135.5</c:v>
                </c:pt>
                <c:pt idx="303">
                  <c:v>128.5</c:v>
                </c:pt>
                <c:pt idx="304">
                  <c:v>122.5</c:v>
                </c:pt>
                <c:pt idx="305">
                  <c:v>122</c:v>
                </c:pt>
                <c:pt idx="306">
                  <c:v>121</c:v>
                </c:pt>
                <c:pt idx="307">
                  <c:v>121</c:v>
                </c:pt>
                <c:pt idx="308">
                  <c:v>125</c:v>
                </c:pt>
                <c:pt idx="309">
                  <c:v>127</c:v>
                </c:pt>
                <c:pt idx="310">
                  <c:v>134</c:v>
                </c:pt>
                <c:pt idx="311">
                  <c:v>142</c:v>
                </c:pt>
                <c:pt idx="312">
                  <c:v>141</c:v>
                </c:pt>
                <c:pt idx="313">
                  <c:v>142</c:v>
                </c:pt>
                <c:pt idx="314">
                  <c:v>142</c:v>
                </c:pt>
                <c:pt idx="315">
                  <c:v>145.5</c:v>
                </c:pt>
                <c:pt idx="316">
                  <c:v>148.5</c:v>
                </c:pt>
                <c:pt idx="317">
                  <c:v>148.5</c:v>
                </c:pt>
                <c:pt idx="318">
                  <c:v>147</c:v>
                </c:pt>
                <c:pt idx="319">
                  <c:v>144</c:v>
                </c:pt>
                <c:pt idx="320">
                  <c:v>142.5</c:v>
                </c:pt>
                <c:pt idx="321">
                  <c:v>141.5</c:v>
                </c:pt>
                <c:pt idx="322">
                  <c:v>142.5</c:v>
                </c:pt>
                <c:pt idx="323">
                  <c:v>142.5</c:v>
                </c:pt>
                <c:pt idx="324">
                  <c:v>148</c:v>
                </c:pt>
                <c:pt idx="325">
                  <c:v>151</c:v>
                </c:pt>
                <c:pt idx="326">
                  <c:v>148.5</c:v>
                </c:pt>
                <c:pt idx="327">
                  <c:v>154</c:v>
                </c:pt>
                <c:pt idx="328">
                  <c:v>157.5</c:v>
                </c:pt>
                <c:pt idx="329">
                  <c:v>163.5</c:v>
                </c:pt>
                <c:pt idx="330">
                  <c:v>164</c:v>
                </c:pt>
                <c:pt idx="331">
                  <c:v>165</c:v>
                </c:pt>
                <c:pt idx="332">
                  <c:v>163.5</c:v>
                </c:pt>
                <c:pt idx="333">
                  <c:v>171.5</c:v>
                </c:pt>
                <c:pt idx="334">
                  <c:v>170.5</c:v>
                </c:pt>
                <c:pt idx="335">
                  <c:v>169</c:v>
                </c:pt>
                <c:pt idx="336">
                  <c:v>171</c:v>
                </c:pt>
                <c:pt idx="337">
                  <c:v>176</c:v>
                </c:pt>
                <c:pt idx="338">
                  <c:v>177.5</c:v>
                </c:pt>
                <c:pt idx="339">
                  <c:v>179.5</c:v>
                </c:pt>
                <c:pt idx="340">
                  <c:v>185</c:v>
                </c:pt>
                <c:pt idx="341">
                  <c:v>191</c:v>
                </c:pt>
                <c:pt idx="342">
                  <c:v>195</c:v>
                </c:pt>
                <c:pt idx="343">
                  <c:v>210</c:v>
                </c:pt>
                <c:pt idx="344">
                  <c:v>210</c:v>
                </c:pt>
                <c:pt idx="345">
                  <c:v>208.5</c:v>
                </c:pt>
                <c:pt idx="346">
                  <c:v>210</c:v>
                </c:pt>
                <c:pt idx="347">
                  <c:v>205</c:v>
                </c:pt>
                <c:pt idx="348">
                  <c:v>197.5</c:v>
                </c:pt>
                <c:pt idx="349">
                  <c:v>185</c:v>
                </c:pt>
                <c:pt idx="350">
                  <c:v>177.5</c:v>
                </c:pt>
                <c:pt idx="351">
                  <c:v>172.5</c:v>
                </c:pt>
                <c:pt idx="352">
                  <c:v>167.5</c:v>
                </c:pt>
                <c:pt idx="353">
                  <c:v>157.5</c:v>
                </c:pt>
                <c:pt idx="354">
                  <c:v>150</c:v>
                </c:pt>
                <c:pt idx="355">
                  <c:v>157</c:v>
                </c:pt>
                <c:pt idx="356">
                  <c:v>157.5</c:v>
                </c:pt>
                <c:pt idx="357">
                  <c:v>157.5</c:v>
                </c:pt>
                <c:pt idx="358">
                  <c:v>162.5</c:v>
                </c:pt>
                <c:pt idx="359">
                  <c:v>164</c:v>
                </c:pt>
                <c:pt idx="360">
                  <c:v>165</c:v>
                </c:pt>
                <c:pt idx="361">
                  <c:v>165</c:v>
                </c:pt>
                <c:pt idx="362">
                  <c:v>167.5</c:v>
                </c:pt>
                <c:pt idx="363">
                  <c:v>177.5</c:v>
                </c:pt>
                <c:pt idx="364">
                  <c:v>180</c:v>
                </c:pt>
                <c:pt idx="365">
                  <c:v>184.5</c:v>
                </c:pt>
                <c:pt idx="366">
                  <c:v>187.5</c:v>
                </c:pt>
                <c:pt idx="367">
                  <c:v>190</c:v>
                </c:pt>
                <c:pt idx="368">
                  <c:v>197</c:v>
                </c:pt>
                <c:pt idx="369">
                  <c:v>202.5</c:v>
                </c:pt>
                <c:pt idx="370">
                  <c:v>207.5</c:v>
                </c:pt>
                <c:pt idx="371">
                  <c:v>214.5</c:v>
                </c:pt>
                <c:pt idx="372">
                  <c:v>215.5</c:v>
                </c:pt>
                <c:pt idx="373">
                  <c:v>216.5</c:v>
                </c:pt>
                <c:pt idx="374">
                  <c:v>217.5</c:v>
                </c:pt>
                <c:pt idx="375">
                  <c:v>224</c:v>
                </c:pt>
                <c:pt idx="376">
                  <c:v>240.5</c:v>
                </c:pt>
                <c:pt idx="377">
                  <c:v>254</c:v>
                </c:pt>
                <c:pt idx="378">
                  <c:v>272.5</c:v>
                </c:pt>
                <c:pt idx="379">
                  <c:v>298.5</c:v>
                </c:pt>
                <c:pt idx="380">
                  <c:v>297</c:v>
                </c:pt>
                <c:pt idx="381">
                  <c:v>300.5</c:v>
                </c:pt>
                <c:pt idx="382">
                  <c:v>315</c:v>
                </c:pt>
                <c:pt idx="383">
                  <c:v>317.5</c:v>
                </c:pt>
                <c:pt idx="384">
                  <c:v>322.5</c:v>
                </c:pt>
                <c:pt idx="385">
                  <c:v>325</c:v>
                </c:pt>
                <c:pt idx="386">
                  <c:v>324</c:v>
                </c:pt>
                <c:pt idx="387">
                  <c:v>322.5</c:v>
                </c:pt>
                <c:pt idx="388">
                  <c:v>305</c:v>
                </c:pt>
                <c:pt idx="389">
                  <c:v>300</c:v>
                </c:pt>
                <c:pt idx="390">
                  <c:v>302.5</c:v>
                </c:pt>
                <c:pt idx="391">
                  <c:v>300</c:v>
                </c:pt>
                <c:pt idx="392">
                  <c:v>307.5</c:v>
                </c:pt>
                <c:pt idx="393">
                  <c:v>305</c:v>
                </c:pt>
                <c:pt idx="394">
                  <c:v>310</c:v>
                </c:pt>
                <c:pt idx="395">
                  <c:v>320</c:v>
                </c:pt>
                <c:pt idx="396">
                  <c:v>318.5</c:v>
                </c:pt>
                <c:pt idx="397">
                  <c:v>318.5</c:v>
                </c:pt>
                <c:pt idx="398">
                  <c:v>310</c:v>
                </c:pt>
                <c:pt idx="399">
                  <c:v>327.5</c:v>
                </c:pt>
                <c:pt idx="400">
                  <c:v>345</c:v>
                </c:pt>
                <c:pt idx="401">
                  <c:v>345</c:v>
                </c:pt>
                <c:pt idx="402">
                  <c:v>345</c:v>
                </c:pt>
                <c:pt idx="403">
                  <c:v>355</c:v>
                </c:pt>
                <c:pt idx="404">
                  <c:v>355</c:v>
                </c:pt>
                <c:pt idx="405">
                  <c:v>340</c:v>
                </c:pt>
                <c:pt idx="406">
                  <c:v>155</c:v>
                </c:pt>
                <c:pt idx="407">
                  <c:v>142.5</c:v>
                </c:pt>
                <c:pt idx="408">
                  <c:v>142.5</c:v>
                </c:pt>
                <c:pt idx="409">
                  <c:v>142.5</c:v>
                </c:pt>
                <c:pt idx="410">
                  <c:v>137.5</c:v>
                </c:pt>
                <c:pt idx="411">
                  <c:v>127.5</c:v>
                </c:pt>
                <c:pt idx="412">
                  <c:v>147.5</c:v>
                </c:pt>
                <c:pt idx="413">
                  <c:v>167.5</c:v>
                </c:pt>
                <c:pt idx="414">
                  <c:v>180</c:v>
                </c:pt>
                <c:pt idx="415">
                  <c:v>190</c:v>
                </c:pt>
                <c:pt idx="416">
                  <c:v>195</c:v>
                </c:pt>
                <c:pt idx="417">
                  <c:v>200</c:v>
                </c:pt>
                <c:pt idx="418">
                  <c:v>204</c:v>
                </c:pt>
                <c:pt idx="419">
                  <c:v>202.5</c:v>
                </c:pt>
                <c:pt idx="420">
                  <c:v>192.5</c:v>
                </c:pt>
                <c:pt idx="421">
                  <c:v>187.5</c:v>
                </c:pt>
                <c:pt idx="422">
                  <c:v>170</c:v>
                </c:pt>
                <c:pt idx="423">
                  <c:v>165</c:v>
                </c:pt>
                <c:pt idx="424">
                  <c:v>150</c:v>
                </c:pt>
                <c:pt idx="425">
                  <c:v>142.5</c:v>
                </c:pt>
                <c:pt idx="426">
                  <c:v>134</c:v>
                </c:pt>
                <c:pt idx="427">
                  <c:v>141.5</c:v>
                </c:pt>
                <c:pt idx="428">
                  <c:v>143.5</c:v>
                </c:pt>
                <c:pt idx="429">
                  <c:v>142.5</c:v>
                </c:pt>
                <c:pt idx="430">
                  <c:v>142.5</c:v>
                </c:pt>
                <c:pt idx="431">
                  <c:v>140.5</c:v>
                </c:pt>
                <c:pt idx="432">
                  <c:v>140</c:v>
                </c:pt>
                <c:pt idx="433">
                  <c:v>140</c:v>
                </c:pt>
                <c:pt idx="434">
                  <c:v>141</c:v>
                </c:pt>
                <c:pt idx="435">
                  <c:v>140.5</c:v>
                </c:pt>
                <c:pt idx="436">
                  <c:v>139</c:v>
                </c:pt>
                <c:pt idx="437">
                  <c:v>140</c:v>
                </c:pt>
                <c:pt idx="438">
                  <c:v>160.5</c:v>
                </c:pt>
                <c:pt idx="439">
                  <c:v>175</c:v>
                </c:pt>
                <c:pt idx="440">
                  <c:v>187</c:v>
                </c:pt>
                <c:pt idx="441">
                  <c:v>187.5</c:v>
                </c:pt>
                <c:pt idx="442">
                  <c:v>185.5</c:v>
                </c:pt>
                <c:pt idx="443">
                  <c:v>172</c:v>
                </c:pt>
                <c:pt idx="444">
                  <c:v>172</c:v>
                </c:pt>
                <c:pt idx="445">
                  <c:v>157.5</c:v>
                </c:pt>
                <c:pt idx="446">
                  <c:v>155.5</c:v>
                </c:pt>
                <c:pt idx="447">
                  <c:v>152</c:v>
                </c:pt>
                <c:pt idx="448">
                  <c:v>152</c:v>
                </c:pt>
                <c:pt idx="449">
                  <c:v>151</c:v>
                </c:pt>
                <c:pt idx="450">
                  <c:v>151</c:v>
                </c:pt>
                <c:pt idx="451">
                  <c:v>157.5</c:v>
                </c:pt>
                <c:pt idx="452">
                  <c:v>157</c:v>
                </c:pt>
                <c:pt idx="453">
                  <c:v>163.5</c:v>
                </c:pt>
                <c:pt idx="454">
                  <c:v>165</c:v>
                </c:pt>
                <c:pt idx="455">
                  <c:v>164.5</c:v>
                </c:pt>
                <c:pt idx="456">
                  <c:v>171.5</c:v>
                </c:pt>
                <c:pt idx="457">
                  <c:v>185</c:v>
                </c:pt>
                <c:pt idx="458">
                  <c:v>187.5</c:v>
                </c:pt>
                <c:pt idx="459">
                  <c:v>187.5</c:v>
                </c:pt>
                <c:pt idx="460">
                  <c:v>190</c:v>
                </c:pt>
                <c:pt idx="461">
                  <c:v>192.5</c:v>
                </c:pt>
                <c:pt idx="462">
                  <c:v>200</c:v>
                </c:pt>
                <c:pt idx="463">
                  <c:v>230</c:v>
                </c:pt>
                <c:pt idx="464">
                  <c:v>235</c:v>
                </c:pt>
                <c:pt idx="465">
                  <c:v>250</c:v>
                </c:pt>
                <c:pt idx="466">
                  <c:v>250</c:v>
                </c:pt>
                <c:pt idx="467">
                  <c:v>254</c:v>
                </c:pt>
                <c:pt idx="468">
                  <c:v>258.5</c:v>
                </c:pt>
                <c:pt idx="469">
                  <c:v>258.5</c:v>
                </c:pt>
                <c:pt idx="470">
                  <c:v>252.5</c:v>
                </c:pt>
                <c:pt idx="471">
                  <c:v>229</c:v>
                </c:pt>
                <c:pt idx="472">
                  <c:v>227.5</c:v>
                </c:pt>
                <c:pt idx="473">
                  <c:v>220</c:v>
                </c:pt>
                <c:pt idx="474">
                  <c:v>210</c:v>
                </c:pt>
                <c:pt idx="475">
                  <c:v>203</c:v>
                </c:pt>
                <c:pt idx="476">
                  <c:v>201.5</c:v>
                </c:pt>
                <c:pt idx="477">
                  <c:v>200</c:v>
                </c:pt>
                <c:pt idx="478">
                  <c:v>180</c:v>
                </c:pt>
                <c:pt idx="479">
                  <c:v>175</c:v>
                </c:pt>
                <c:pt idx="480">
                  <c:v>167.5</c:v>
                </c:pt>
                <c:pt idx="481">
                  <c:v>162.5</c:v>
                </c:pt>
                <c:pt idx="482">
                  <c:v>162.5</c:v>
                </c:pt>
                <c:pt idx="483">
                  <c:v>175.5</c:v>
                </c:pt>
                <c:pt idx="484">
                  <c:v>178.5</c:v>
                </c:pt>
                <c:pt idx="485">
                  <c:v>187.5</c:v>
                </c:pt>
                <c:pt idx="486">
                  <c:v>205</c:v>
                </c:pt>
                <c:pt idx="487">
                  <c:v>205</c:v>
                </c:pt>
                <c:pt idx="488">
                  <c:v>210</c:v>
                </c:pt>
                <c:pt idx="489">
                  <c:v>212.5</c:v>
                </c:pt>
                <c:pt idx="490">
                  <c:v>210</c:v>
                </c:pt>
                <c:pt idx="491">
                  <c:v>207.5</c:v>
                </c:pt>
                <c:pt idx="492">
                  <c:v>212.5</c:v>
                </c:pt>
                <c:pt idx="493">
                  <c:v>215</c:v>
                </c:pt>
                <c:pt idx="494">
                  <c:v>216</c:v>
                </c:pt>
                <c:pt idx="495">
                  <c:v>217.5</c:v>
                </c:pt>
                <c:pt idx="496">
                  <c:v>227.5</c:v>
                </c:pt>
                <c:pt idx="497">
                  <c:v>250</c:v>
                </c:pt>
                <c:pt idx="498">
                  <c:v>252.5</c:v>
                </c:pt>
                <c:pt idx="499">
                  <c:v>252.5</c:v>
                </c:pt>
                <c:pt idx="500">
                  <c:v>252.5</c:v>
                </c:pt>
                <c:pt idx="501">
                  <c:v>257.5</c:v>
                </c:pt>
                <c:pt idx="502">
                  <c:v>250.5</c:v>
                </c:pt>
                <c:pt idx="503">
                  <c:v>251.5</c:v>
                </c:pt>
                <c:pt idx="504">
                  <c:v>257.5</c:v>
                </c:pt>
                <c:pt idx="505">
                  <c:v>271</c:v>
                </c:pt>
                <c:pt idx="506">
                  <c:v>274</c:v>
                </c:pt>
                <c:pt idx="507">
                  <c:v>298.5</c:v>
                </c:pt>
                <c:pt idx="508">
                  <c:v>302.5</c:v>
                </c:pt>
                <c:pt idx="509">
                  <c:v>305</c:v>
                </c:pt>
                <c:pt idx="510">
                  <c:v>305</c:v>
                </c:pt>
                <c:pt idx="511">
                  <c:v>300</c:v>
                </c:pt>
                <c:pt idx="512">
                  <c:v>297.5</c:v>
                </c:pt>
                <c:pt idx="513">
                  <c:v>300</c:v>
                </c:pt>
                <c:pt idx="514">
                  <c:v>297.5</c:v>
                </c:pt>
                <c:pt idx="515">
                  <c:v>297.5</c:v>
                </c:pt>
                <c:pt idx="516">
                  <c:v>303.5</c:v>
                </c:pt>
                <c:pt idx="517">
                  <c:v>302.5</c:v>
                </c:pt>
                <c:pt idx="518">
                  <c:v>298.5</c:v>
                </c:pt>
                <c:pt idx="519">
                  <c:v>290</c:v>
                </c:pt>
                <c:pt idx="520">
                  <c:v>290</c:v>
                </c:pt>
                <c:pt idx="521">
                  <c:v>295</c:v>
                </c:pt>
                <c:pt idx="522">
                  <c:v>290</c:v>
                </c:pt>
                <c:pt idx="523">
                  <c:v>285</c:v>
                </c:pt>
                <c:pt idx="524">
                  <c:v>280</c:v>
                </c:pt>
                <c:pt idx="525">
                  <c:v>280</c:v>
                </c:pt>
                <c:pt idx="526">
                  <c:v>270</c:v>
                </c:pt>
                <c:pt idx="527">
                  <c:v>261.5</c:v>
                </c:pt>
                <c:pt idx="528">
                  <c:v>265</c:v>
                </c:pt>
                <c:pt idx="529">
                  <c:v>277.5</c:v>
                </c:pt>
                <c:pt idx="530">
                  <c:v>285</c:v>
                </c:pt>
                <c:pt idx="531">
                  <c:v>295</c:v>
                </c:pt>
                <c:pt idx="532">
                  <c:v>320.5</c:v>
                </c:pt>
                <c:pt idx="533">
                  <c:v>330.5</c:v>
                </c:pt>
                <c:pt idx="534">
                  <c:v>342.5</c:v>
                </c:pt>
                <c:pt idx="535">
                  <c:v>360</c:v>
                </c:pt>
                <c:pt idx="536">
                  <c:v>365</c:v>
                </c:pt>
                <c:pt idx="537">
                  <c:v>377.5</c:v>
                </c:pt>
                <c:pt idx="538">
                  <c:v>345</c:v>
                </c:pt>
                <c:pt idx="539">
                  <c:v>300</c:v>
                </c:pt>
                <c:pt idx="540">
                  <c:v>315</c:v>
                </c:pt>
                <c:pt idx="541">
                  <c:v>324.5</c:v>
                </c:pt>
                <c:pt idx="542">
                  <c:v>330</c:v>
                </c:pt>
                <c:pt idx="543">
                  <c:v>320</c:v>
                </c:pt>
                <c:pt idx="544">
                  <c:v>292.5</c:v>
                </c:pt>
                <c:pt idx="545">
                  <c:v>305</c:v>
                </c:pt>
                <c:pt idx="546">
                  <c:v>317.5</c:v>
                </c:pt>
                <c:pt idx="547">
                  <c:v>315</c:v>
                </c:pt>
                <c:pt idx="548">
                  <c:v>327.5</c:v>
                </c:pt>
                <c:pt idx="549">
                  <c:v>330</c:v>
                </c:pt>
                <c:pt idx="550">
                  <c:v>335</c:v>
                </c:pt>
                <c:pt idx="551">
                  <c:v>330</c:v>
                </c:pt>
                <c:pt idx="552">
                  <c:v>327.5</c:v>
                </c:pt>
                <c:pt idx="553">
                  <c:v>325</c:v>
                </c:pt>
                <c:pt idx="554">
                  <c:v>323.5</c:v>
                </c:pt>
                <c:pt idx="555">
                  <c:v>320.5</c:v>
                </c:pt>
                <c:pt idx="556">
                  <c:v>316</c:v>
                </c:pt>
                <c:pt idx="557">
                  <c:v>315</c:v>
                </c:pt>
                <c:pt idx="558">
                  <c:v>315</c:v>
                </c:pt>
                <c:pt idx="559">
                  <c:v>300</c:v>
                </c:pt>
                <c:pt idx="560">
                  <c:v>275</c:v>
                </c:pt>
                <c:pt idx="561">
                  <c:v>257.5</c:v>
                </c:pt>
                <c:pt idx="562">
                  <c:v>255</c:v>
                </c:pt>
                <c:pt idx="563">
                  <c:v>255</c:v>
                </c:pt>
                <c:pt idx="564">
                  <c:v>275</c:v>
                </c:pt>
                <c:pt idx="565">
                  <c:v>295</c:v>
                </c:pt>
                <c:pt idx="566">
                  <c:v>302.5</c:v>
                </c:pt>
                <c:pt idx="567">
                  <c:v>295</c:v>
                </c:pt>
                <c:pt idx="568">
                  <c:v>302.5</c:v>
                </c:pt>
                <c:pt idx="569">
                  <c:v>305</c:v>
                </c:pt>
                <c:pt idx="570">
                  <c:v>295</c:v>
                </c:pt>
                <c:pt idx="571">
                  <c:v>295</c:v>
                </c:pt>
                <c:pt idx="572">
                  <c:v>295</c:v>
                </c:pt>
                <c:pt idx="573">
                  <c:v>295</c:v>
                </c:pt>
                <c:pt idx="574">
                  <c:v>302.5</c:v>
                </c:pt>
                <c:pt idx="575">
                  <c:v>307.5</c:v>
                </c:pt>
                <c:pt idx="576">
                  <c:v>310</c:v>
                </c:pt>
                <c:pt idx="577">
                  <c:v>325</c:v>
                </c:pt>
                <c:pt idx="578">
                  <c:v>329</c:v>
                </c:pt>
                <c:pt idx="579">
                  <c:v>336.5</c:v>
                </c:pt>
                <c:pt idx="580">
                  <c:v>345</c:v>
                </c:pt>
                <c:pt idx="581">
                  <c:v>350</c:v>
                </c:pt>
                <c:pt idx="582">
                  <c:v>357.5</c:v>
                </c:pt>
                <c:pt idx="583">
                  <c:v>345</c:v>
                </c:pt>
                <c:pt idx="584">
                  <c:v>335</c:v>
                </c:pt>
                <c:pt idx="585">
                  <c:v>330</c:v>
                </c:pt>
                <c:pt idx="586">
                  <c:v>315</c:v>
                </c:pt>
                <c:pt idx="587">
                  <c:v>292.5</c:v>
                </c:pt>
                <c:pt idx="588">
                  <c:v>267.5</c:v>
                </c:pt>
                <c:pt idx="589">
                  <c:v>252</c:v>
                </c:pt>
                <c:pt idx="590">
                  <c:v>250</c:v>
                </c:pt>
                <c:pt idx="591">
                  <c:v>275</c:v>
                </c:pt>
                <c:pt idx="592">
                  <c:v>272.5</c:v>
                </c:pt>
                <c:pt idx="593">
                  <c:v>262.5</c:v>
                </c:pt>
                <c:pt idx="594">
                  <c:v>262.5</c:v>
                </c:pt>
                <c:pt idx="595">
                  <c:v>265.5</c:v>
                </c:pt>
                <c:pt idx="596">
                  <c:v>262.5</c:v>
                </c:pt>
                <c:pt idx="597">
                  <c:v>260.5</c:v>
                </c:pt>
                <c:pt idx="598">
                  <c:v>264</c:v>
                </c:pt>
                <c:pt idx="599">
                  <c:v>264</c:v>
                </c:pt>
                <c:pt idx="600">
                  <c:v>265</c:v>
                </c:pt>
                <c:pt idx="601">
                  <c:v>280</c:v>
                </c:pt>
                <c:pt idx="602">
                  <c:v>310</c:v>
                </c:pt>
                <c:pt idx="603">
                  <c:v>310</c:v>
                </c:pt>
                <c:pt idx="604">
                  <c:v>310</c:v>
                </c:pt>
                <c:pt idx="605">
                  <c:v>305</c:v>
                </c:pt>
                <c:pt idx="606">
                  <c:v>315</c:v>
                </c:pt>
                <c:pt idx="607">
                  <c:v>305</c:v>
                </c:pt>
                <c:pt idx="608">
                  <c:v>290</c:v>
                </c:pt>
                <c:pt idx="609">
                  <c:v>285</c:v>
                </c:pt>
                <c:pt idx="610">
                  <c:v>285</c:v>
                </c:pt>
                <c:pt idx="611">
                  <c:v>297</c:v>
                </c:pt>
                <c:pt idx="612">
                  <c:v>300</c:v>
                </c:pt>
                <c:pt idx="613">
                  <c:v>307.5</c:v>
                </c:pt>
                <c:pt idx="614">
                  <c:v>307.5</c:v>
                </c:pt>
                <c:pt idx="615">
                  <c:v>307.5</c:v>
                </c:pt>
                <c:pt idx="616">
                  <c:v>307</c:v>
                </c:pt>
                <c:pt idx="617">
                  <c:v>310</c:v>
                </c:pt>
                <c:pt idx="618">
                  <c:v>311</c:v>
                </c:pt>
                <c:pt idx="619">
                  <c:v>314</c:v>
                </c:pt>
                <c:pt idx="620">
                  <c:v>320.5</c:v>
                </c:pt>
                <c:pt idx="621">
                  <c:v>342.5</c:v>
                </c:pt>
                <c:pt idx="622">
                  <c:v>357.5</c:v>
                </c:pt>
                <c:pt idx="623">
                  <c:v>357.5</c:v>
                </c:pt>
                <c:pt idx="624">
                  <c:v>355</c:v>
                </c:pt>
                <c:pt idx="625">
                  <c:v>350</c:v>
                </c:pt>
                <c:pt idx="626">
                  <c:v>345</c:v>
                </c:pt>
                <c:pt idx="627">
                  <c:v>342.5</c:v>
                </c:pt>
                <c:pt idx="628">
                  <c:v>342.5</c:v>
                </c:pt>
                <c:pt idx="629">
                  <c:v>342.5</c:v>
                </c:pt>
                <c:pt idx="630">
                  <c:v>310</c:v>
                </c:pt>
                <c:pt idx="631">
                  <c:v>297.5</c:v>
                </c:pt>
                <c:pt idx="632">
                  <c:v>292.5</c:v>
                </c:pt>
                <c:pt idx="633">
                  <c:v>267.5</c:v>
                </c:pt>
                <c:pt idx="634">
                  <c:v>262.5</c:v>
                </c:pt>
                <c:pt idx="635">
                  <c:v>257.5</c:v>
                </c:pt>
                <c:pt idx="636">
                  <c:v>252.5</c:v>
                </c:pt>
                <c:pt idx="637">
                  <c:v>252.5</c:v>
                </c:pt>
                <c:pt idx="638">
                  <c:v>250.5</c:v>
                </c:pt>
                <c:pt idx="639">
                  <c:v>242.5</c:v>
                </c:pt>
                <c:pt idx="640">
                  <c:v>252.5</c:v>
                </c:pt>
                <c:pt idx="641">
                  <c:v>256.5</c:v>
                </c:pt>
                <c:pt idx="642">
                  <c:v>256.5</c:v>
                </c:pt>
                <c:pt idx="643">
                  <c:v>265</c:v>
                </c:pt>
                <c:pt idx="644">
                  <c:v>267.5</c:v>
                </c:pt>
                <c:pt idx="645">
                  <c:v>267.5</c:v>
                </c:pt>
                <c:pt idx="646">
                  <c:v>272.5</c:v>
                </c:pt>
                <c:pt idx="647">
                  <c:v>267.5</c:v>
                </c:pt>
                <c:pt idx="648">
                  <c:v>262.5</c:v>
                </c:pt>
                <c:pt idx="649">
                  <c:v>252.5</c:v>
                </c:pt>
                <c:pt idx="650">
                  <c:v>257.5</c:v>
                </c:pt>
                <c:pt idx="651">
                  <c:v>255</c:v>
                </c:pt>
                <c:pt idx="652">
                  <c:v>255</c:v>
                </c:pt>
                <c:pt idx="653">
                  <c:v>262.5</c:v>
                </c:pt>
                <c:pt idx="654">
                  <c:v>261.5</c:v>
                </c:pt>
                <c:pt idx="655">
                  <c:v>270.5</c:v>
                </c:pt>
                <c:pt idx="656">
                  <c:v>271.5</c:v>
                </c:pt>
                <c:pt idx="657">
                  <c:v>272.5</c:v>
                </c:pt>
                <c:pt idx="658">
                  <c:v>269.5</c:v>
                </c:pt>
                <c:pt idx="659">
                  <c:v>272</c:v>
                </c:pt>
                <c:pt idx="660">
                  <c:v>273</c:v>
                </c:pt>
                <c:pt idx="661">
                  <c:v>276.5</c:v>
                </c:pt>
                <c:pt idx="662">
                  <c:v>277.5</c:v>
                </c:pt>
                <c:pt idx="663">
                  <c:v>277.5</c:v>
                </c:pt>
                <c:pt idx="664">
                  <c:v>280.5</c:v>
                </c:pt>
                <c:pt idx="665">
                  <c:v>281.5</c:v>
                </c:pt>
                <c:pt idx="666">
                  <c:v>282.5</c:v>
                </c:pt>
                <c:pt idx="667">
                  <c:v>282.5</c:v>
                </c:pt>
                <c:pt idx="668">
                  <c:v>282.5</c:v>
                </c:pt>
                <c:pt idx="669">
                  <c:v>295</c:v>
                </c:pt>
                <c:pt idx="670">
                  <c:v>307.5</c:v>
                </c:pt>
                <c:pt idx="671">
                  <c:v>310</c:v>
                </c:pt>
                <c:pt idx="672">
                  <c:v>317.5</c:v>
                </c:pt>
                <c:pt idx="673">
                  <c:v>317.5</c:v>
                </c:pt>
                <c:pt idx="674">
                  <c:v>317.5</c:v>
                </c:pt>
                <c:pt idx="675">
                  <c:v>317.5</c:v>
                </c:pt>
                <c:pt idx="676">
                  <c:v>317.5</c:v>
                </c:pt>
                <c:pt idx="677">
                  <c:v>317.5</c:v>
                </c:pt>
                <c:pt idx="678">
                  <c:v>302.5</c:v>
                </c:pt>
                <c:pt idx="679">
                  <c:v>279</c:v>
                </c:pt>
                <c:pt idx="680">
                  <c:v>277.5</c:v>
                </c:pt>
                <c:pt idx="681">
                  <c:v>270</c:v>
                </c:pt>
                <c:pt idx="682">
                  <c:v>267.5</c:v>
                </c:pt>
                <c:pt idx="683">
                  <c:v>262.5</c:v>
                </c:pt>
                <c:pt idx="684">
                  <c:v>262.5</c:v>
                </c:pt>
                <c:pt idx="685">
                  <c:v>253.5</c:v>
                </c:pt>
                <c:pt idx="686">
                  <c:v>252.5</c:v>
                </c:pt>
                <c:pt idx="687">
                  <c:v>252.5</c:v>
                </c:pt>
                <c:pt idx="688">
                  <c:v>252.5</c:v>
                </c:pt>
                <c:pt idx="689">
                  <c:v>250</c:v>
                </c:pt>
                <c:pt idx="690">
                  <c:v>252.5</c:v>
                </c:pt>
                <c:pt idx="691">
                  <c:v>252.5</c:v>
                </c:pt>
                <c:pt idx="692">
                  <c:v>260</c:v>
                </c:pt>
                <c:pt idx="693">
                  <c:v>261.5</c:v>
                </c:pt>
                <c:pt idx="694">
                  <c:v>261.5</c:v>
                </c:pt>
                <c:pt idx="695">
                  <c:v>261.5</c:v>
                </c:pt>
                <c:pt idx="696">
                  <c:v>261.5</c:v>
                </c:pt>
                <c:pt idx="697">
                  <c:v>261.5</c:v>
                </c:pt>
                <c:pt idx="698">
                  <c:v>270</c:v>
                </c:pt>
                <c:pt idx="699">
                  <c:v>270</c:v>
                </c:pt>
                <c:pt idx="700">
                  <c:v>270</c:v>
                </c:pt>
                <c:pt idx="701">
                  <c:v>274.5</c:v>
                </c:pt>
                <c:pt idx="702">
                  <c:v>283</c:v>
                </c:pt>
                <c:pt idx="703">
                  <c:v>284</c:v>
                </c:pt>
                <c:pt idx="704">
                  <c:v>284</c:v>
                </c:pt>
                <c:pt idx="705">
                  <c:v>285</c:v>
                </c:pt>
                <c:pt idx="706">
                  <c:v>280</c:v>
                </c:pt>
                <c:pt idx="707">
                  <c:v>280</c:v>
                </c:pt>
                <c:pt idx="708">
                  <c:v>280</c:v>
                </c:pt>
                <c:pt idx="709">
                  <c:v>277.5</c:v>
                </c:pt>
                <c:pt idx="710">
                  <c:v>278.5</c:v>
                </c:pt>
                <c:pt idx="711">
                  <c:v>277</c:v>
                </c:pt>
                <c:pt idx="712">
                  <c:v>277</c:v>
                </c:pt>
                <c:pt idx="713">
                  <c:v>278</c:v>
                </c:pt>
                <c:pt idx="714">
                  <c:v>277.5</c:v>
                </c:pt>
                <c:pt idx="715">
                  <c:v>277.5</c:v>
                </c:pt>
                <c:pt idx="716">
                  <c:v>281.5</c:v>
                </c:pt>
                <c:pt idx="717">
                  <c:v>284.5</c:v>
                </c:pt>
                <c:pt idx="718">
                  <c:v>284.5</c:v>
                </c:pt>
                <c:pt idx="719">
                  <c:v>284.5</c:v>
                </c:pt>
                <c:pt idx="720">
                  <c:v>282.5</c:v>
                </c:pt>
                <c:pt idx="721">
                  <c:v>284.5</c:v>
                </c:pt>
                <c:pt idx="722">
                  <c:v>285.5</c:v>
                </c:pt>
                <c:pt idx="723">
                  <c:v>282.5</c:v>
                </c:pt>
                <c:pt idx="724">
                  <c:v>282.5</c:v>
                </c:pt>
                <c:pt idx="725">
                  <c:v>282</c:v>
                </c:pt>
                <c:pt idx="726">
                  <c:v>280</c:v>
                </c:pt>
                <c:pt idx="727">
                  <c:v>272.5</c:v>
                </c:pt>
                <c:pt idx="728">
                  <c:v>272.5</c:v>
                </c:pt>
                <c:pt idx="729">
                  <c:v>260</c:v>
                </c:pt>
                <c:pt idx="730">
                  <c:v>252.5</c:v>
                </c:pt>
                <c:pt idx="731">
                  <c:v>250.5</c:v>
                </c:pt>
                <c:pt idx="732">
                  <c:v>250.5</c:v>
                </c:pt>
                <c:pt idx="733">
                  <c:v>233</c:v>
                </c:pt>
                <c:pt idx="734">
                  <c:v>220</c:v>
                </c:pt>
                <c:pt idx="735">
                  <c:v>215.5</c:v>
                </c:pt>
                <c:pt idx="736">
                  <c:v>202.5</c:v>
                </c:pt>
                <c:pt idx="737">
                  <c:v>202.5</c:v>
                </c:pt>
                <c:pt idx="738">
                  <c:v>205</c:v>
                </c:pt>
                <c:pt idx="739">
                  <c:v>207.5</c:v>
                </c:pt>
                <c:pt idx="740">
                  <c:v>206.5</c:v>
                </c:pt>
                <c:pt idx="741">
                  <c:v>205.5</c:v>
                </c:pt>
                <c:pt idx="742">
                  <c:v>205.5</c:v>
                </c:pt>
                <c:pt idx="743">
                  <c:v>209</c:v>
                </c:pt>
                <c:pt idx="744">
                  <c:v>202.5</c:v>
                </c:pt>
                <c:pt idx="745">
                  <c:v>202.5</c:v>
                </c:pt>
                <c:pt idx="746">
                  <c:v>197.5</c:v>
                </c:pt>
                <c:pt idx="747">
                  <c:v>192.5</c:v>
                </c:pt>
                <c:pt idx="748">
                  <c:v>189.5</c:v>
                </c:pt>
                <c:pt idx="749">
                  <c:v>185.5</c:v>
                </c:pt>
                <c:pt idx="750">
                  <c:v>188</c:v>
                </c:pt>
                <c:pt idx="751">
                  <c:v>190</c:v>
                </c:pt>
                <c:pt idx="752">
                  <c:v>197.5</c:v>
                </c:pt>
                <c:pt idx="753">
                  <c:v>202</c:v>
                </c:pt>
                <c:pt idx="754">
                  <c:v>195.5</c:v>
                </c:pt>
                <c:pt idx="755">
                  <c:v>194.5</c:v>
                </c:pt>
                <c:pt idx="756">
                  <c:v>192.5</c:v>
                </c:pt>
                <c:pt idx="757">
                  <c:v>190.5</c:v>
                </c:pt>
                <c:pt idx="758">
                  <c:v>187.5</c:v>
                </c:pt>
                <c:pt idx="759">
                  <c:v>183.5</c:v>
                </c:pt>
                <c:pt idx="760">
                  <c:v>190</c:v>
                </c:pt>
                <c:pt idx="761">
                  <c:v>194.5</c:v>
                </c:pt>
                <c:pt idx="762">
                  <c:v>203.5</c:v>
                </c:pt>
                <c:pt idx="763">
                  <c:v>210</c:v>
                </c:pt>
                <c:pt idx="764">
                  <c:v>205</c:v>
                </c:pt>
                <c:pt idx="765">
                  <c:v>200</c:v>
                </c:pt>
                <c:pt idx="766">
                  <c:v>200</c:v>
                </c:pt>
                <c:pt idx="767">
                  <c:v>197.5</c:v>
                </c:pt>
                <c:pt idx="768">
                  <c:v>198</c:v>
                </c:pt>
                <c:pt idx="769">
                  <c:v>201.5</c:v>
                </c:pt>
                <c:pt idx="770">
                  <c:v>200.5</c:v>
                </c:pt>
                <c:pt idx="771">
                  <c:v>200.5</c:v>
                </c:pt>
                <c:pt idx="772">
                  <c:v>197.5</c:v>
                </c:pt>
                <c:pt idx="773">
                  <c:v>195</c:v>
                </c:pt>
                <c:pt idx="774">
                  <c:v>190</c:v>
                </c:pt>
                <c:pt idx="775">
                  <c:v>185</c:v>
                </c:pt>
                <c:pt idx="776">
                  <c:v>182.5</c:v>
                </c:pt>
                <c:pt idx="777">
                  <c:v>177.5</c:v>
                </c:pt>
                <c:pt idx="778">
                  <c:v>180</c:v>
                </c:pt>
                <c:pt idx="779">
                  <c:v>180</c:v>
                </c:pt>
                <c:pt idx="780">
                  <c:v>180</c:v>
                </c:pt>
                <c:pt idx="781">
                  <c:v>177.5</c:v>
                </c:pt>
                <c:pt idx="782">
                  <c:v>172.5</c:v>
                </c:pt>
                <c:pt idx="783">
                  <c:v>172.5</c:v>
                </c:pt>
                <c:pt idx="784">
                  <c:v>172.5</c:v>
                </c:pt>
                <c:pt idx="785">
                  <c:v>172.5</c:v>
                </c:pt>
                <c:pt idx="786">
                  <c:v>172.5</c:v>
                </c:pt>
                <c:pt idx="787">
                  <c:v>166</c:v>
                </c:pt>
                <c:pt idx="788">
                  <c:v>162.5</c:v>
                </c:pt>
                <c:pt idx="789">
                  <c:v>152.5</c:v>
                </c:pt>
                <c:pt idx="790">
                  <c:v>150.5</c:v>
                </c:pt>
                <c:pt idx="791">
                  <c:v>147.5</c:v>
                </c:pt>
                <c:pt idx="792">
                  <c:v>147.5</c:v>
                </c:pt>
                <c:pt idx="793">
                  <c:v>147.5</c:v>
                </c:pt>
                <c:pt idx="794">
                  <c:v>140.5</c:v>
                </c:pt>
                <c:pt idx="795">
                  <c:v>139.5</c:v>
                </c:pt>
                <c:pt idx="796">
                  <c:v>138.5</c:v>
                </c:pt>
                <c:pt idx="797">
                  <c:v>134.5</c:v>
                </c:pt>
                <c:pt idx="798">
                  <c:v>134.5</c:v>
                </c:pt>
                <c:pt idx="799">
                  <c:v>134.5</c:v>
                </c:pt>
                <c:pt idx="800">
                  <c:v>134.5</c:v>
                </c:pt>
                <c:pt idx="801">
                  <c:v>134.5</c:v>
                </c:pt>
                <c:pt idx="802">
                  <c:v>133.5</c:v>
                </c:pt>
                <c:pt idx="803">
                  <c:v>137.5</c:v>
                </c:pt>
                <c:pt idx="804">
                  <c:v>137.5</c:v>
                </c:pt>
                <c:pt idx="805">
                  <c:v>142.5</c:v>
                </c:pt>
                <c:pt idx="806">
                  <c:v>145.5</c:v>
                </c:pt>
                <c:pt idx="807">
                  <c:v>145.5</c:v>
                </c:pt>
                <c:pt idx="808">
                  <c:v>152</c:v>
                </c:pt>
                <c:pt idx="809">
                  <c:v>152.5</c:v>
                </c:pt>
                <c:pt idx="810">
                  <c:v>155</c:v>
                </c:pt>
                <c:pt idx="811">
                  <c:v>155</c:v>
                </c:pt>
                <c:pt idx="812">
                  <c:v>159.5</c:v>
                </c:pt>
                <c:pt idx="813">
                  <c:v>170.5</c:v>
                </c:pt>
                <c:pt idx="814">
                  <c:v>175.5</c:v>
                </c:pt>
                <c:pt idx="815">
                  <c:v>175.5</c:v>
                </c:pt>
                <c:pt idx="816">
                  <c:v>187.5</c:v>
                </c:pt>
                <c:pt idx="817">
                  <c:v>187.5</c:v>
                </c:pt>
                <c:pt idx="818">
                  <c:v>187.5</c:v>
                </c:pt>
                <c:pt idx="819">
                  <c:v>177.5</c:v>
                </c:pt>
                <c:pt idx="820">
                  <c:v>180.5</c:v>
                </c:pt>
                <c:pt idx="821">
                  <c:v>180.5</c:v>
                </c:pt>
                <c:pt idx="822">
                  <c:v>182.5</c:v>
                </c:pt>
                <c:pt idx="823">
                  <c:v>182.5</c:v>
                </c:pt>
                <c:pt idx="824">
                  <c:v>190</c:v>
                </c:pt>
                <c:pt idx="825">
                  <c:v>192.5</c:v>
                </c:pt>
                <c:pt idx="826">
                  <c:v>200.5</c:v>
                </c:pt>
                <c:pt idx="827">
                  <c:v>202.5</c:v>
                </c:pt>
                <c:pt idx="828">
                  <c:v>205</c:v>
                </c:pt>
              </c:numCache>
            </c:numRef>
          </c:yVal>
          <c:smooth val="0"/>
        </c:ser>
        <c:dLbls>
          <c:showLegendKey val="0"/>
          <c:showVal val="0"/>
          <c:showCatName val="0"/>
          <c:showSerName val="0"/>
          <c:showPercent val="0"/>
          <c:showBubbleSize val="0"/>
        </c:dLbls>
        <c:axId val="641001664"/>
        <c:axId val="641002056"/>
      </c:scatterChart>
      <c:valAx>
        <c:axId val="641001664"/>
        <c:scaling>
          <c:orientation val="minMax"/>
          <c:min val="200"/>
        </c:scaling>
        <c:delete val="0"/>
        <c:axPos val="b"/>
        <c:numFmt formatCode="_-* #,##0_-;\-* #,##0_-;_-* &quot;-&quot;??_-;_-@_-" sourceLinked="1"/>
        <c:majorTickMark val="out"/>
        <c:minorTickMark val="none"/>
        <c:tickLblPos val="nextTo"/>
        <c:crossAx val="641002056"/>
        <c:crosses val="autoZero"/>
        <c:crossBetween val="midCat"/>
      </c:valAx>
      <c:valAx>
        <c:axId val="641002056"/>
        <c:scaling>
          <c:orientation val="minMax"/>
          <c:min val="100"/>
        </c:scaling>
        <c:delete val="0"/>
        <c:axPos val="l"/>
        <c:numFmt formatCode="0" sourceLinked="1"/>
        <c:majorTickMark val="out"/>
        <c:minorTickMark val="none"/>
        <c:tickLblPos val="nextTo"/>
        <c:crossAx val="641001664"/>
        <c:crosses val="autoZero"/>
        <c:crossBetween val="midCat"/>
      </c:valAx>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5397692425352565E-2"/>
          <c:y val="0.15318338865270278"/>
          <c:w val="0.85742982380609778"/>
          <c:h val="0.75561604583705677"/>
        </c:manualLayout>
      </c:layout>
      <c:scatterChart>
        <c:scatterStyle val="lineMarker"/>
        <c:varyColors val="0"/>
        <c:ser>
          <c:idx val="0"/>
          <c:order val="0"/>
          <c:tx>
            <c:strRef>
              <c:f>'model (2)'!$D$186</c:f>
              <c:strCache>
                <c:ptCount val="1"/>
                <c:pt idx="0">
                  <c:v>Ammonium Nitrate FOB Baltic Sea</c:v>
                </c:pt>
              </c:strCache>
            </c:strRef>
          </c:tx>
          <c:spPr>
            <a:ln w="28575">
              <a:noFill/>
            </a:ln>
          </c:spPr>
          <c:trendline>
            <c:trendlineType val="linear"/>
            <c:dispRSqr val="1"/>
            <c:dispEq val="1"/>
            <c:trendlineLbl>
              <c:layout>
                <c:manualLayout>
                  <c:x val="2.6441150807361587E-2"/>
                  <c:y val="0.40244548034645533"/>
                </c:manualLayout>
              </c:layout>
              <c:numFmt formatCode="General" sourceLinked="0"/>
            </c:trendlineLbl>
          </c:trendline>
          <c:xVal>
            <c:numRef>
              <c:f>'model (2)'!$C$188:$C$1033</c:f>
              <c:numCache>
                <c:formatCode>_-* #\ ##0_-;\-* #\ ##0_-;_-* "-"??_-;_-@_-</c:formatCode>
                <c:ptCount val="846"/>
                <c:pt idx="0">
                  <c:v>86.5</c:v>
                </c:pt>
                <c:pt idx="1">
                  <c:v>94</c:v>
                </c:pt>
                <c:pt idx="2">
                  <c:v>98.5</c:v>
                </c:pt>
                <c:pt idx="3">
                  <c:v>105.5</c:v>
                </c:pt>
                <c:pt idx="4">
                  <c:v>105.5</c:v>
                </c:pt>
                <c:pt idx="5">
                  <c:v>108</c:v>
                </c:pt>
                <c:pt idx="6">
                  <c:v>109.5</c:v>
                </c:pt>
                <c:pt idx="7">
                  <c:v>110.5</c:v>
                </c:pt>
                <c:pt idx="8">
                  <c:v>112.5</c:v>
                </c:pt>
                <c:pt idx="9">
                  <c:v>121.5</c:v>
                </c:pt>
                <c:pt idx="10">
                  <c:v>132</c:v>
                </c:pt>
                <c:pt idx="11">
                  <c:v>134.75</c:v>
                </c:pt>
                <c:pt idx="12">
                  <c:v>134.75</c:v>
                </c:pt>
                <c:pt idx="13">
                  <c:v>130.5</c:v>
                </c:pt>
                <c:pt idx="14">
                  <c:v>122.5</c:v>
                </c:pt>
                <c:pt idx="15">
                  <c:v>119</c:v>
                </c:pt>
                <c:pt idx="16">
                  <c:v>109</c:v>
                </c:pt>
                <c:pt idx="17">
                  <c:v>106.5</c:v>
                </c:pt>
                <c:pt idx="18">
                  <c:v>107</c:v>
                </c:pt>
                <c:pt idx="19">
                  <c:v>113.5</c:v>
                </c:pt>
                <c:pt idx="20">
                  <c:v>113.5</c:v>
                </c:pt>
                <c:pt idx="21">
                  <c:v>114</c:v>
                </c:pt>
                <c:pt idx="22">
                  <c:v>113.5</c:v>
                </c:pt>
                <c:pt idx="23">
                  <c:v>106.5</c:v>
                </c:pt>
                <c:pt idx="24">
                  <c:v>105.5</c:v>
                </c:pt>
                <c:pt idx="25">
                  <c:v>102</c:v>
                </c:pt>
                <c:pt idx="26">
                  <c:v>101.5</c:v>
                </c:pt>
                <c:pt idx="27">
                  <c:v>99</c:v>
                </c:pt>
                <c:pt idx="28">
                  <c:v>97</c:v>
                </c:pt>
                <c:pt idx="29">
                  <c:v>97</c:v>
                </c:pt>
                <c:pt idx="30">
                  <c:v>97</c:v>
                </c:pt>
                <c:pt idx="31">
                  <c:v>110</c:v>
                </c:pt>
                <c:pt idx="32">
                  <c:v>117.5</c:v>
                </c:pt>
                <c:pt idx="33">
                  <c:v>113</c:v>
                </c:pt>
                <c:pt idx="34">
                  <c:v>111.5</c:v>
                </c:pt>
                <c:pt idx="35">
                  <c:v>102.5</c:v>
                </c:pt>
                <c:pt idx="36">
                  <c:v>98</c:v>
                </c:pt>
                <c:pt idx="37">
                  <c:v>101.5</c:v>
                </c:pt>
                <c:pt idx="38">
                  <c:v>98.5</c:v>
                </c:pt>
                <c:pt idx="39">
                  <c:v>97</c:v>
                </c:pt>
                <c:pt idx="40">
                  <c:v>94.5</c:v>
                </c:pt>
                <c:pt idx="41">
                  <c:v>96</c:v>
                </c:pt>
                <c:pt idx="42">
                  <c:v>94</c:v>
                </c:pt>
                <c:pt idx="43">
                  <c:v>94</c:v>
                </c:pt>
                <c:pt idx="44">
                  <c:v>91.5</c:v>
                </c:pt>
                <c:pt idx="45">
                  <c:v>83.5</c:v>
                </c:pt>
                <c:pt idx="46">
                  <c:v>75.5</c:v>
                </c:pt>
                <c:pt idx="47">
                  <c:v>73.5</c:v>
                </c:pt>
                <c:pt idx="48">
                  <c:v>74</c:v>
                </c:pt>
                <c:pt idx="49">
                  <c:v>78</c:v>
                </c:pt>
                <c:pt idx="50">
                  <c:v>80.5</c:v>
                </c:pt>
                <c:pt idx="51">
                  <c:v>84</c:v>
                </c:pt>
                <c:pt idx="52">
                  <c:v>84</c:v>
                </c:pt>
                <c:pt idx="53">
                  <c:v>84</c:v>
                </c:pt>
                <c:pt idx="54">
                  <c:v>82</c:v>
                </c:pt>
                <c:pt idx="55">
                  <c:v>84</c:v>
                </c:pt>
                <c:pt idx="56">
                  <c:v>84</c:v>
                </c:pt>
                <c:pt idx="57">
                  <c:v>87.75</c:v>
                </c:pt>
                <c:pt idx="58">
                  <c:v>87.75</c:v>
                </c:pt>
                <c:pt idx="59">
                  <c:v>89</c:v>
                </c:pt>
                <c:pt idx="60">
                  <c:v>90.5</c:v>
                </c:pt>
                <c:pt idx="61">
                  <c:v>89.5</c:v>
                </c:pt>
                <c:pt idx="62">
                  <c:v>87.5</c:v>
                </c:pt>
                <c:pt idx="63">
                  <c:v>88</c:v>
                </c:pt>
                <c:pt idx="64">
                  <c:v>87.5</c:v>
                </c:pt>
                <c:pt idx="65">
                  <c:v>88</c:v>
                </c:pt>
                <c:pt idx="66">
                  <c:v>86.5</c:v>
                </c:pt>
                <c:pt idx="67">
                  <c:v>89.5</c:v>
                </c:pt>
                <c:pt idx="68">
                  <c:v>92</c:v>
                </c:pt>
                <c:pt idx="69">
                  <c:v>94</c:v>
                </c:pt>
                <c:pt idx="70">
                  <c:v>95</c:v>
                </c:pt>
                <c:pt idx="71">
                  <c:v>95.5</c:v>
                </c:pt>
                <c:pt idx="72">
                  <c:v>93</c:v>
                </c:pt>
                <c:pt idx="73">
                  <c:v>91.5</c:v>
                </c:pt>
                <c:pt idx="74">
                  <c:v>93.5</c:v>
                </c:pt>
                <c:pt idx="75">
                  <c:v>96</c:v>
                </c:pt>
                <c:pt idx="76">
                  <c:v>96</c:v>
                </c:pt>
                <c:pt idx="77">
                  <c:v>100.5</c:v>
                </c:pt>
                <c:pt idx="78">
                  <c:v>100.5</c:v>
                </c:pt>
                <c:pt idx="79">
                  <c:v>100.5</c:v>
                </c:pt>
                <c:pt idx="80">
                  <c:v>101</c:v>
                </c:pt>
                <c:pt idx="81">
                  <c:v>103</c:v>
                </c:pt>
                <c:pt idx="82">
                  <c:v>103</c:v>
                </c:pt>
                <c:pt idx="83">
                  <c:v>103</c:v>
                </c:pt>
                <c:pt idx="84">
                  <c:v>94</c:v>
                </c:pt>
                <c:pt idx="85">
                  <c:v>94</c:v>
                </c:pt>
                <c:pt idx="86">
                  <c:v>92</c:v>
                </c:pt>
                <c:pt idx="87">
                  <c:v>90.5</c:v>
                </c:pt>
                <c:pt idx="88">
                  <c:v>89</c:v>
                </c:pt>
                <c:pt idx="89">
                  <c:v>89</c:v>
                </c:pt>
                <c:pt idx="90">
                  <c:v>89</c:v>
                </c:pt>
                <c:pt idx="91">
                  <c:v>88.5</c:v>
                </c:pt>
                <c:pt idx="92">
                  <c:v>85.5</c:v>
                </c:pt>
                <c:pt idx="93">
                  <c:v>85</c:v>
                </c:pt>
                <c:pt idx="94">
                  <c:v>83.5</c:v>
                </c:pt>
                <c:pt idx="95">
                  <c:v>84.5</c:v>
                </c:pt>
                <c:pt idx="96">
                  <c:v>82.5</c:v>
                </c:pt>
                <c:pt idx="97">
                  <c:v>83.5</c:v>
                </c:pt>
                <c:pt idx="98">
                  <c:v>85</c:v>
                </c:pt>
                <c:pt idx="99">
                  <c:v>86</c:v>
                </c:pt>
                <c:pt idx="100">
                  <c:v>87</c:v>
                </c:pt>
                <c:pt idx="101">
                  <c:v>89.5</c:v>
                </c:pt>
                <c:pt idx="102">
                  <c:v>89.5</c:v>
                </c:pt>
                <c:pt idx="103">
                  <c:v>90.5</c:v>
                </c:pt>
                <c:pt idx="104">
                  <c:v>91.5</c:v>
                </c:pt>
                <c:pt idx="105">
                  <c:v>90</c:v>
                </c:pt>
                <c:pt idx="106">
                  <c:v>89.5</c:v>
                </c:pt>
                <c:pt idx="107">
                  <c:v>90</c:v>
                </c:pt>
                <c:pt idx="108">
                  <c:v>93</c:v>
                </c:pt>
                <c:pt idx="109">
                  <c:v>95.5</c:v>
                </c:pt>
                <c:pt idx="110">
                  <c:v>97.5</c:v>
                </c:pt>
                <c:pt idx="111">
                  <c:v>101</c:v>
                </c:pt>
                <c:pt idx="112">
                  <c:v>101</c:v>
                </c:pt>
                <c:pt idx="113">
                  <c:v>101</c:v>
                </c:pt>
                <c:pt idx="114">
                  <c:v>98.5</c:v>
                </c:pt>
                <c:pt idx="115">
                  <c:v>95.5</c:v>
                </c:pt>
                <c:pt idx="116">
                  <c:v>92</c:v>
                </c:pt>
                <c:pt idx="117">
                  <c:v>90.5</c:v>
                </c:pt>
                <c:pt idx="118">
                  <c:v>88.5</c:v>
                </c:pt>
                <c:pt idx="119">
                  <c:v>87</c:v>
                </c:pt>
                <c:pt idx="120">
                  <c:v>89</c:v>
                </c:pt>
                <c:pt idx="121">
                  <c:v>90</c:v>
                </c:pt>
                <c:pt idx="122">
                  <c:v>90</c:v>
                </c:pt>
                <c:pt idx="123">
                  <c:v>89.5</c:v>
                </c:pt>
                <c:pt idx="124">
                  <c:v>90</c:v>
                </c:pt>
                <c:pt idx="125">
                  <c:v>90</c:v>
                </c:pt>
                <c:pt idx="126">
                  <c:v>96</c:v>
                </c:pt>
                <c:pt idx="127">
                  <c:v>100</c:v>
                </c:pt>
                <c:pt idx="128">
                  <c:v>100</c:v>
                </c:pt>
                <c:pt idx="129">
                  <c:v>100</c:v>
                </c:pt>
                <c:pt idx="130">
                  <c:v>99</c:v>
                </c:pt>
                <c:pt idx="131">
                  <c:v>96</c:v>
                </c:pt>
                <c:pt idx="132">
                  <c:v>98</c:v>
                </c:pt>
                <c:pt idx="133">
                  <c:v>104.5</c:v>
                </c:pt>
                <c:pt idx="134">
                  <c:v>111</c:v>
                </c:pt>
                <c:pt idx="135">
                  <c:v>114.5</c:v>
                </c:pt>
                <c:pt idx="136">
                  <c:v>125</c:v>
                </c:pt>
                <c:pt idx="137">
                  <c:v>125</c:v>
                </c:pt>
                <c:pt idx="138">
                  <c:v>125</c:v>
                </c:pt>
                <c:pt idx="139">
                  <c:v>127.5</c:v>
                </c:pt>
                <c:pt idx="140">
                  <c:v>127.5</c:v>
                </c:pt>
                <c:pt idx="141">
                  <c:v>134</c:v>
                </c:pt>
                <c:pt idx="142">
                  <c:v>134</c:v>
                </c:pt>
                <c:pt idx="143">
                  <c:v>134</c:v>
                </c:pt>
                <c:pt idx="144">
                  <c:v>125</c:v>
                </c:pt>
                <c:pt idx="145">
                  <c:v>118</c:v>
                </c:pt>
                <c:pt idx="146">
                  <c:v>112.5</c:v>
                </c:pt>
                <c:pt idx="147">
                  <c:v>110.5</c:v>
                </c:pt>
                <c:pt idx="148">
                  <c:v>113.5</c:v>
                </c:pt>
                <c:pt idx="149">
                  <c:v>119</c:v>
                </c:pt>
                <c:pt idx="150">
                  <c:v>123.5</c:v>
                </c:pt>
                <c:pt idx="151">
                  <c:v>129</c:v>
                </c:pt>
                <c:pt idx="152">
                  <c:v>129</c:v>
                </c:pt>
                <c:pt idx="153">
                  <c:v>132</c:v>
                </c:pt>
                <c:pt idx="154">
                  <c:v>130</c:v>
                </c:pt>
                <c:pt idx="155">
                  <c:v>129</c:v>
                </c:pt>
                <c:pt idx="156">
                  <c:v>132</c:v>
                </c:pt>
                <c:pt idx="157">
                  <c:v>139</c:v>
                </c:pt>
                <c:pt idx="158">
                  <c:v>141</c:v>
                </c:pt>
                <c:pt idx="159">
                  <c:v>142</c:v>
                </c:pt>
                <c:pt idx="160">
                  <c:v>139.5</c:v>
                </c:pt>
                <c:pt idx="161">
                  <c:v>136</c:v>
                </c:pt>
                <c:pt idx="162">
                  <c:v>129.5</c:v>
                </c:pt>
                <c:pt idx="163">
                  <c:v>139.5</c:v>
                </c:pt>
                <c:pt idx="164">
                  <c:v>144.5</c:v>
                </c:pt>
                <c:pt idx="165">
                  <c:v>149.5</c:v>
                </c:pt>
                <c:pt idx="166">
                  <c:v>149</c:v>
                </c:pt>
                <c:pt idx="167">
                  <c:v>143.5</c:v>
                </c:pt>
                <c:pt idx="168">
                  <c:v>143.5</c:v>
                </c:pt>
                <c:pt idx="169">
                  <c:v>149</c:v>
                </c:pt>
                <c:pt idx="170">
                  <c:v>151.5</c:v>
                </c:pt>
                <c:pt idx="171">
                  <c:v>153</c:v>
                </c:pt>
                <c:pt idx="172">
                  <c:v>153</c:v>
                </c:pt>
                <c:pt idx="173">
                  <c:v>151</c:v>
                </c:pt>
                <c:pt idx="174">
                  <c:v>148</c:v>
                </c:pt>
                <c:pt idx="175">
                  <c:v>146</c:v>
                </c:pt>
                <c:pt idx="176">
                  <c:v>150</c:v>
                </c:pt>
                <c:pt idx="177">
                  <c:v>154</c:v>
                </c:pt>
                <c:pt idx="178">
                  <c:v>151</c:v>
                </c:pt>
                <c:pt idx="179">
                  <c:v>155.5</c:v>
                </c:pt>
                <c:pt idx="180">
                  <c:v>156.5</c:v>
                </c:pt>
                <c:pt idx="181">
                  <c:v>158.5</c:v>
                </c:pt>
                <c:pt idx="182">
                  <c:v>157</c:v>
                </c:pt>
                <c:pt idx="183">
                  <c:v>156.5</c:v>
                </c:pt>
                <c:pt idx="184">
                  <c:v>156.5</c:v>
                </c:pt>
                <c:pt idx="185">
                  <c:v>153</c:v>
                </c:pt>
                <c:pt idx="186">
                  <c:v>149</c:v>
                </c:pt>
                <c:pt idx="187">
                  <c:v>141.5</c:v>
                </c:pt>
                <c:pt idx="188">
                  <c:v>127.5</c:v>
                </c:pt>
                <c:pt idx="189">
                  <c:v>120</c:v>
                </c:pt>
                <c:pt idx="190">
                  <c:v>124</c:v>
                </c:pt>
                <c:pt idx="191">
                  <c:v>126</c:v>
                </c:pt>
                <c:pt idx="192">
                  <c:v>124.5</c:v>
                </c:pt>
                <c:pt idx="193">
                  <c:v>126.5</c:v>
                </c:pt>
                <c:pt idx="194">
                  <c:v>130</c:v>
                </c:pt>
                <c:pt idx="195">
                  <c:v>125</c:v>
                </c:pt>
                <c:pt idx="196">
                  <c:v>127.5</c:v>
                </c:pt>
                <c:pt idx="197">
                  <c:v>131</c:v>
                </c:pt>
                <c:pt idx="198">
                  <c:v>129</c:v>
                </c:pt>
                <c:pt idx="199">
                  <c:v>127</c:v>
                </c:pt>
                <c:pt idx="200">
                  <c:v>132</c:v>
                </c:pt>
                <c:pt idx="201">
                  <c:v>129</c:v>
                </c:pt>
                <c:pt idx="202">
                  <c:v>136.5</c:v>
                </c:pt>
                <c:pt idx="203">
                  <c:v>141</c:v>
                </c:pt>
                <c:pt idx="204">
                  <c:v>146</c:v>
                </c:pt>
                <c:pt idx="205">
                  <c:v>161</c:v>
                </c:pt>
                <c:pt idx="206">
                  <c:v>163</c:v>
                </c:pt>
                <c:pt idx="207">
                  <c:v>166</c:v>
                </c:pt>
                <c:pt idx="208">
                  <c:v>176</c:v>
                </c:pt>
                <c:pt idx="209">
                  <c:v>186.5</c:v>
                </c:pt>
                <c:pt idx="210">
                  <c:v>200</c:v>
                </c:pt>
                <c:pt idx="211">
                  <c:v>208.5</c:v>
                </c:pt>
                <c:pt idx="212">
                  <c:v>213</c:v>
                </c:pt>
                <c:pt idx="213">
                  <c:v>209.5</c:v>
                </c:pt>
                <c:pt idx="214">
                  <c:v>204.5</c:v>
                </c:pt>
                <c:pt idx="215">
                  <c:v>190.5</c:v>
                </c:pt>
                <c:pt idx="216">
                  <c:v>204</c:v>
                </c:pt>
                <c:pt idx="217">
                  <c:v>213</c:v>
                </c:pt>
                <c:pt idx="218">
                  <c:v>213.5</c:v>
                </c:pt>
                <c:pt idx="219">
                  <c:v>216</c:v>
                </c:pt>
                <c:pt idx="220">
                  <c:v>220</c:v>
                </c:pt>
                <c:pt idx="221">
                  <c:v>236</c:v>
                </c:pt>
                <c:pt idx="222">
                  <c:v>239.5</c:v>
                </c:pt>
                <c:pt idx="223">
                  <c:v>239.5</c:v>
                </c:pt>
                <c:pt idx="224">
                  <c:v>234</c:v>
                </c:pt>
                <c:pt idx="225">
                  <c:v>229.5</c:v>
                </c:pt>
                <c:pt idx="226">
                  <c:v>212.5</c:v>
                </c:pt>
                <c:pt idx="227">
                  <c:v>196</c:v>
                </c:pt>
                <c:pt idx="228">
                  <c:v>212</c:v>
                </c:pt>
                <c:pt idx="229">
                  <c:v>192.5</c:v>
                </c:pt>
                <c:pt idx="230">
                  <c:v>187.5</c:v>
                </c:pt>
                <c:pt idx="231">
                  <c:v>180</c:v>
                </c:pt>
                <c:pt idx="232">
                  <c:v>177</c:v>
                </c:pt>
                <c:pt idx="233">
                  <c:v>175</c:v>
                </c:pt>
                <c:pt idx="234">
                  <c:v>187.5</c:v>
                </c:pt>
                <c:pt idx="235">
                  <c:v>193.5</c:v>
                </c:pt>
                <c:pt idx="236">
                  <c:v>184</c:v>
                </c:pt>
                <c:pt idx="237">
                  <c:v>174.5</c:v>
                </c:pt>
                <c:pt idx="238">
                  <c:v>171.5</c:v>
                </c:pt>
                <c:pt idx="239">
                  <c:v>170</c:v>
                </c:pt>
                <c:pt idx="240">
                  <c:v>181.5</c:v>
                </c:pt>
                <c:pt idx="241">
                  <c:v>192</c:v>
                </c:pt>
                <c:pt idx="242">
                  <c:v>197.5</c:v>
                </c:pt>
                <c:pt idx="243">
                  <c:v>201</c:v>
                </c:pt>
                <c:pt idx="244">
                  <c:v>215</c:v>
                </c:pt>
                <c:pt idx="245">
                  <c:v>215</c:v>
                </c:pt>
                <c:pt idx="246">
                  <c:v>222.5</c:v>
                </c:pt>
                <c:pt idx="247">
                  <c:v>228.5</c:v>
                </c:pt>
                <c:pt idx="248">
                  <c:v>238.5</c:v>
                </c:pt>
                <c:pt idx="249">
                  <c:v>247.5</c:v>
                </c:pt>
                <c:pt idx="250">
                  <c:v>234.5</c:v>
                </c:pt>
                <c:pt idx="251">
                  <c:v>257.5</c:v>
                </c:pt>
                <c:pt idx="252">
                  <c:v>255</c:v>
                </c:pt>
                <c:pt idx="253">
                  <c:v>255</c:v>
                </c:pt>
                <c:pt idx="254">
                  <c:v>240</c:v>
                </c:pt>
                <c:pt idx="255">
                  <c:v>224.5</c:v>
                </c:pt>
                <c:pt idx="256">
                  <c:v>203</c:v>
                </c:pt>
                <c:pt idx="257">
                  <c:v>206.5</c:v>
                </c:pt>
                <c:pt idx="258">
                  <c:v>220</c:v>
                </c:pt>
                <c:pt idx="259">
                  <c:v>219.5</c:v>
                </c:pt>
                <c:pt idx="260">
                  <c:v>213</c:v>
                </c:pt>
                <c:pt idx="261">
                  <c:v>205.5</c:v>
                </c:pt>
                <c:pt idx="262">
                  <c:v>200</c:v>
                </c:pt>
                <c:pt idx="263">
                  <c:v>200</c:v>
                </c:pt>
                <c:pt idx="264">
                  <c:v>201</c:v>
                </c:pt>
                <c:pt idx="265">
                  <c:v>205</c:v>
                </c:pt>
                <c:pt idx="266">
                  <c:v>202</c:v>
                </c:pt>
                <c:pt idx="267">
                  <c:v>210</c:v>
                </c:pt>
                <c:pt idx="268">
                  <c:v>204</c:v>
                </c:pt>
                <c:pt idx="269">
                  <c:v>204</c:v>
                </c:pt>
                <c:pt idx="270">
                  <c:v>201.5</c:v>
                </c:pt>
                <c:pt idx="271">
                  <c:v>203.5</c:v>
                </c:pt>
                <c:pt idx="272">
                  <c:v>211</c:v>
                </c:pt>
                <c:pt idx="273">
                  <c:v>211.5</c:v>
                </c:pt>
                <c:pt idx="274">
                  <c:v>212.5</c:v>
                </c:pt>
                <c:pt idx="275">
                  <c:v>221</c:v>
                </c:pt>
                <c:pt idx="276">
                  <c:v>224</c:v>
                </c:pt>
                <c:pt idx="277">
                  <c:v>220</c:v>
                </c:pt>
                <c:pt idx="278">
                  <c:v>216.5</c:v>
                </c:pt>
                <c:pt idx="279">
                  <c:v>211.5</c:v>
                </c:pt>
                <c:pt idx="280">
                  <c:v>207.5</c:v>
                </c:pt>
                <c:pt idx="281">
                  <c:v>197.5</c:v>
                </c:pt>
                <c:pt idx="282">
                  <c:v>195</c:v>
                </c:pt>
                <c:pt idx="283">
                  <c:v>205</c:v>
                </c:pt>
                <c:pt idx="284">
                  <c:v>199</c:v>
                </c:pt>
                <c:pt idx="285">
                  <c:v>195.5</c:v>
                </c:pt>
                <c:pt idx="286">
                  <c:v>189</c:v>
                </c:pt>
                <c:pt idx="287">
                  <c:v>196.5</c:v>
                </c:pt>
                <c:pt idx="288">
                  <c:v>205</c:v>
                </c:pt>
                <c:pt idx="289">
                  <c:v>211</c:v>
                </c:pt>
                <c:pt idx="290">
                  <c:v>207.5</c:v>
                </c:pt>
                <c:pt idx="291">
                  <c:v>215</c:v>
                </c:pt>
                <c:pt idx="292">
                  <c:v>227.5</c:v>
                </c:pt>
                <c:pt idx="293">
                  <c:v>232.5</c:v>
                </c:pt>
                <c:pt idx="294">
                  <c:v>245</c:v>
                </c:pt>
                <c:pt idx="295">
                  <c:v>245</c:v>
                </c:pt>
                <c:pt idx="296">
                  <c:v>240</c:v>
                </c:pt>
                <c:pt idx="297">
                  <c:v>245</c:v>
                </c:pt>
                <c:pt idx="298">
                  <c:v>240</c:v>
                </c:pt>
                <c:pt idx="299">
                  <c:v>240</c:v>
                </c:pt>
                <c:pt idx="300">
                  <c:v>239.5</c:v>
                </c:pt>
                <c:pt idx="301">
                  <c:v>235</c:v>
                </c:pt>
                <c:pt idx="302">
                  <c:v>230</c:v>
                </c:pt>
                <c:pt idx="303">
                  <c:v>222.5</c:v>
                </c:pt>
                <c:pt idx="304">
                  <c:v>212</c:v>
                </c:pt>
                <c:pt idx="305">
                  <c:v>212</c:v>
                </c:pt>
                <c:pt idx="306">
                  <c:v>197.5</c:v>
                </c:pt>
                <c:pt idx="307">
                  <c:v>198</c:v>
                </c:pt>
                <c:pt idx="308">
                  <c:v>201</c:v>
                </c:pt>
                <c:pt idx="309">
                  <c:v>201</c:v>
                </c:pt>
                <c:pt idx="310">
                  <c:v>200</c:v>
                </c:pt>
                <c:pt idx="311">
                  <c:v>200</c:v>
                </c:pt>
                <c:pt idx="312">
                  <c:v>195</c:v>
                </c:pt>
                <c:pt idx="313">
                  <c:v>205</c:v>
                </c:pt>
                <c:pt idx="314">
                  <c:v>208</c:v>
                </c:pt>
                <c:pt idx="315">
                  <c:v>211.5</c:v>
                </c:pt>
                <c:pt idx="316">
                  <c:v>214</c:v>
                </c:pt>
                <c:pt idx="317">
                  <c:v>211.5</c:v>
                </c:pt>
                <c:pt idx="318">
                  <c:v>207.5</c:v>
                </c:pt>
                <c:pt idx="319">
                  <c:v>205</c:v>
                </c:pt>
                <c:pt idx="320">
                  <c:v>208.5</c:v>
                </c:pt>
                <c:pt idx="321">
                  <c:v>204</c:v>
                </c:pt>
                <c:pt idx="322">
                  <c:v>196</c:v>
                </c:pt>
                <c:pt idx="323">
                  <c:v>202.5</c:v>
                </c:pt>
                <c:pt idx="324">
                  <c:v>206</c:v>
                </c:pt>
                <c:pt idx="325">
                  <c:v>207</c:v>
                </c:pt>
                <c:pt idx="326">
                  <c:v>209</c:v>
                </c:pt>
                <c:pt idx="327">
                  <c:v>217.5</c:v>
                </c:pt>
                <c:pt idx="328">
                  <c:v>227.5</c:v>
                </c:pt>
                <c:pt idx="329">
                  <c:v>240</c:v>
                </c:pt>
                <c:pt idx="330">
                  <c:v>245</c:v>
                </c:pt>
                <c:pt idx="331">
                  <c:v>247.5</c:v>
                </c:pt>
                <c:pt idx="332">
                  <c:v>246</c:v>
                </c:pt>
                <c:pt idx="333">
                  <c:v>250</c:v>
                </c:pt>
                <c:pt idx="334">
                  <c:v>250.5</c:v>
                </c:pt>
                <c:pt idx="335">
                  <c:v>252</c:v>
                </c:pt>
                <c:pt idx="336">
                  <c:v>266</c:v>
                </c:pt>
                <c:pt idx="337">
                  <c:v>272</c:v>
                </c:pt>
                <c:pt idx="338">
                  <c:v>275</c:v>
                </c:pt>
                <c:pt idx="339">
                  <c:v>281.5</c:v>
                </c:pt>
                <c:pt idx="340">
                  <c:v>292.5</c:v>
                </c:pt>
                <c:pt idx="341">
                  <c:v>301</c:v>
                </c:pt>
                <c:pt idx="342">
                  <c:v>307</c:v>
                </c:pt>
                <c:pt idx="343">
                  <c:v>310</c:v>
                </c:pt>
                <c:pt idx="344">
                  <c:v>311.5</c:v>
                </c:pt>
                <c:pt idx="345">
                  <c:v>307.5</c:v>
                </c:pt>
                <c:pt idx="346">
                  <c:v>297.5</c:v>
                </c:pt>
                <c:pt idx="347">
                  <c:v>292.5</c:v>
                </c:pt>
                <c:pt idx="348">
                  <c:v>280</c:v>
                </c:pt>
                <c:pt idx="349">
                  <c:v>280.5</c:v>
                </c:pt>
                <c:pt idx="350">
                  <c:v>286</c:v>
                </c:pt>
                <c:pt idx="351">
                  <c:v>296</c:v>
                </c:pt>
                <c:pt idx="352">
                  <c:v>287.5</c:v>
                </c:pt>
                <c:pt idx="353">
                  <c:v>289</c:v>
                </c:pt>
                <c:pt idx="354">
                  <c:v>283.5</c:v>
                </c:pt>
                <c:pt idx="355">
                  <c:v>285</c:v>
                </c:pt>
                <c:pt idx="356">
                  <c:v>282.5</c:v>
                </c:pt>
                <c:pt idx="357">
                  <c:v>272.5</c:v>
                </c:pt>
                <c:pt idx="358">
                  <c:v>271.5</c:v>
                </c:pt>
                <c:pt idx="359">
                  <c:v>271.5</c:v>
                </c:pt>
                <c:pt idx="360">
                  <c:v>268</c:v>
                </c:pt>
                <c:pt idx="361">
                  <c:v>263</c:v>
                </c:pt>
                <c:pt idx="362">
                  <c:v>257</c:v>
                </c:pt>
                <c:pt idx="363">
                  <c:v>252</c:v>
                </c:pt>
                <c:pt idx="364">
                  <c:v>245.5</c:v>
                </c:pt>
                <c:pt idx="365">
                  <c:v>252.5</c:v>
                </c:pt>
                <c:pt idx="366">
                  <c:v>276.5</c:v>
                </c:pt>
                <c:pt idx="367">
                  <c:v>297.5</c:v>
                </c:pt>
                <c:pt idx="368">
                  <c:v>302.5</c:v>
                </c:pt>
                <c:pt idx="369">
                  <c:v>306.5</c:v>
                </c:pt>
                <c:pt idx="370">
                  <c:v>305.5</c:v>
                </c:pt>
                <c:pt idx="371">
                  <c:v>313.5</c:v>
                </c:pt>
                <c:pt idx="372">
                  <c:v>318.5</c:v>
                </c:pt>
                <c:pt idx="373">
                  <c:v>324.5</c:v>
                </c:pt>
                <c:pt idx="374">
                  <c:v>328.5</c:v>
                </c:pt>
                <c:pt idx="375">
                  <c:v>327.5</c:v>
                </c:pt>
                <c:pt idx="376">
                  <c:v>346.5</c:v>
                </c:pt>
                <c:pt idx="377">
                  <c:v>352.5</c:v>
                </c:pt>
                <c:pt idx="378">
                  <c:v>360</c:v>
                </c:pt>
                <c:pt idx="379">
                  <c:v>385</c:v>
                </c:pt>
                <c:pt idx="380">
                  <c:v>390</c:v>
                </c:pt>
                <c:pt idx="381">
                  <c:v>391</c:v>
                </c:pt>
                <c:pt idx="382">
                  <c:v>384</c:v>
                </c:pt>
                <c:pt idx="383">
                  <c:v>380</c:v>
                </c:pt>
                <c:pt idx="384">
                  <c:v>377.5</c:v>
                </c:pt>
                <c:pt idx="385">
                  <c:v>377.5</c:v>
                </c:pt>
                <c:pt idx="386">
                  <c:v>370</c:v>
                </c:pt>
                <c:pt idx="387">
                  <c:v>360</c:v>
                </c:pt>
                <c:pt idx="388">
                  <c:v>340</c:v>
                </c:pt>
                <c:pt idx="389">
                  <c:v>322.5</c:v>
                </c:pt>
                <c:pt idx="390">
                  <c:v>327.5</c:v>
                </c:pt>
                <c:pt idx="391">
                  <c:v>324</c:v>
                </c:pt>
                <c:pt idx="392">
                  <c:v>315</c:v>
                </c:pt>
                <c:pt idx="393">
                  <c:v>330</c:v>
                </c:pt>
                <c:pt idx="394">
                  <c:v>365</c:v>
                </c:pt>
                <c:pt idx="395">
                  <c:v>392.5</c:v>
                </c:pt>
                <c:pt idx="396">
                  <c:v>382</c:v>
                </c:pt>
                <c:pt idx="397">
                  <c:v>385</c:v>
                </c:pt>
                <c:pt idx="398">
                  <c:v>407.5</c:v>
                </c:pt>
                <c:pt idx="399">
                  <c:v>477.5</c:v>
                </c:pt>
                <c:pt idx="400">
                  <c:v>530</c:v>
                </c:pt>
                <c:pt idx="401">
                  <c:v>330</c:v>
                </c:pt>
                <c:pt idx="402">
                  <c:v>280</c:v>
                </c:pt>
                <c:pt idx="403">
                  <c:v>282.5</c:v>
                </c:pt>
                <c:pt idx="404">
                  <c:v>245</c:v>
                </c:pt>
                <c:pt idx="405">
                  <c:v>250</c:v>
                </c:pt>
                <c:pt idx="406">
                  <c:v>238.5</c:v>
                </c:pt>
                <c:pt idx="407">
                  <c:v>240</c:v>
                </c:pt>
                <c:pt idx="408">
                  <c:v>236.5</c:v>
                </c:pt>
                <c:pt idx="409">
                  <c:v>230.5</c:v>
                </c:pt>
                <c:pt idx="410">
                  <c:v>226</c:v>
                </c:pt>
                <c:pt idx="411">
                  <c:v>215</c:v>
                </c:pt>
                <c:pt idx="412">
                  <c:v>220</c:v>
                </c:pt>
                <c:pt idx="413">
                  <c:v>272.5</c:v>
                </c:pt>
                <c:pt idx="414">
                  <c:v>280</c:v>
                </c:pt>
                <c:pt idx="415">
                  <c:v>260</c:v>
                </c:pt>
                <c:pt idx="416">
                  <c:v>263</c:v>
                </c:pt>
                <c:pt idx="417">
                  <c:v>272.5</c:v>
                </c:pt>
                <c:pt idx="418">
                  <c:v>275</c:v>
                </c:pt>
                <c:pt idx="419">
                  <c:v>278</c:v>
                </c:pt>
                <c:pt idx="420">
                  <c:v>275</c:v>
                </c:pt>
                <c:pt idx="421">
                  <c:v>272.5</c:v>
                </c:pt>
                <c:pt idx="422">
                  <c:v>257.5</c:v>
                </c:pt>
                <c:pt idx="423">
                  <c:v>248.5</c:v>
                </c:pt>
                <c:pt idx="424">
                  <c:v>248</c:v>
                </c:pt>
                <c:pt idx="425">
                  <c:v>245.5</c:v>
                </c:pt>
                <c:pt idx="426">
                  <c:v>238</c:v>
                </c:pt>
                <c:pt idx="427">
                  <c:v>236</c:v>
                </c:pt>
                <c:pt idx="428">
                  <c:v>241</c:v>
                </c:pt>
                <c:pt idx="429">
                  <c:v>242</c:v>
                </c:pt>
                <c:pt idx="430">
                  <c:v>242</c:v>
                </c:pt>
                <c:pt idx="431">
                  <c:v>232.5</c:v>
                </c:pt>
                <c:pt idx="432">
                  <c:v>233.5</c:v>
                </c:pt>
                <c:pt idx="433">
                  <c:v>236</c:v>
                </c:pt>
                <c:pt idx="434">
                  <c:v>234</c:v>
                </c:pt>
                <c:pt idx="435">
                  <c:v>234</c:v>
                </c:pt>
                <c:pt idx="436">
                  <c:v>236</c:v>
                </c:pt>
                <c:pt idx="437">
                  <c:v>236</c:v>
                </c:pt>
                <c:pt idx="438">
                  <c:v>238</c:v>
                </c:pt>
                <c:pt idx="439">
                  <c:v>242.5</c:v>
                </c:pt>
                <c:pt idx="440">
                  <c:v>253.5</c:v>
                </c:pt>
                <c:pt idx="441">
                  <c:v>252.5</c:v>
                </c:pt>
                <c:pt idx="442">
                  <c:v>251.5</c:v>
                </c:pt>
                <c:pt idx="443">
                  <c:v>245.5</c:v>
                </c:pt>
                <c:pt idx="444">
                  <c:v>245.5</c:v>
                </c:pt>
                <c:pt idx="445">
                  <c:v>232.5</c:v>
                </c:pt>
                <c:pt idx="446">
                  <c:v>235</c:v>
                </c:pt>
                <c:pt idx="447">
                  <c:v>234</c:v>
                </c:pt>
                <c:pt idx="448">
                  <c:v>233.5</c:v>
                </c:pt>
                <c:pt idx="449">
                  <c:v>229</c:v>
                </c:pt>
                <c:pt idx="450">
                  <c:v>233</c:v>
                </c:pt>
                <c:pt idx="451">
                  <c:v>233</c:v>
                </c:pt>
                <c:pt idx="452">
                  <c:v>232</c:v>
                </c:pt>
                <c:pt idx="453">
                  <c:v>231.5</c:v>
                </c:pt>
                <c:pt idx="454">
                  <c:v>230.5</c:v>
                </c:pt>
                <c:pt idx="455">
                  <c:v>229</c:v>
                </c:pt>
                <c:pt idx="456">
                  <c:v>231</c:v>
                </c:pt>
                <c:pt idx="457">
                  <c:v>241.5</c:v>
                </c:pt>
                <c:pt idx="458">
                  <c:v>252.5</c:v>
                </c:pt>
                <c:pt idx="459">
                  <c:v>252.5</c:v>
                </c:pt>
                <c:pt idx="460">
                  <c:v>250</c:v>
                </c:pt>
                <c:pt idx="461">
                  <c:v>252.5</c:v>
                </c:pt>
                <c:pt idx="462">
                  <c:v>258.5</c:v>
                </c:pt>
                <c:pt idx="463">
                  <c:v>260</c:v>
                </c:pt>
                <c:pt idx="464">
                  <c:v>272</c:v>
                </c:pt>
                <c:pt idx="465">
                  <c:v>279</c:v>
                </c:pt>
                <c:pt idx="466">
                  <c:v>287</c:v>
                </c:pt>
                <c:pt idx="467">
                  <c:v>287</c:v>
                </c:pt>
                <c:pt idx="468">
                  <c:v>280</c:v>
                </c:pt>
                <c:pt idx="469">
                  <c:v>274</c:v>
                </c:pt>
                <c:pt idx="470">
                  <c:v>271</c:v>
                </c:pt>
                <c:pt idx="471">
                  <c:v>273.5</c:v>
                </c:pt>
                <c:pt idx="472">
                  <c:v>273.5</c:v>
                </c:pt>
                <c:pt idx="473">
                  <c:v>268.5</c:v>
                </c:pt>
                <c:pt idx="474">
                  <c:v>261.5</c:v>
                </c:pt>
                <c:pt idx="475">
                  <c:v>251.5</c:v>
                </c:pt>
                <c:pt idx="476">
                  <c:v>244</c:v>
                </c:pt>
                <c:pt idx="477">
                  <c:v>242.5</c:v>
                </c:pt>
                <c:pt idx="478">
                  <c:v>235.5</c:v>
                </c:pt>
                <c:pt idx="479">
                  <c:v>232</c:v>
                </c:pt>
                <c:pt idx="480">
                  <c:v>231.5</c:v>
                </c:pt>
                <c:pt idx="481">
                  <c:v>222.5</c:v>
                </c:pt>
                <c:pt idx="482">
                  <c:v>218.5</c:v>
                </c:pt>
                <c:pt idx="483">
                  <c:v>219.5</c:v>
                </c:pt>
                <c:pt idx="484">
                  <c:v>224</c:v>
                </c:pt>
                <c:pt idx="485">
                  <c:v>233.5</c:v>
                </c:pt>
                <c:pt idx="486">
                  <c:v>234.5</c:v>
                </c:pt>
                <c:pt idx="487">
                  <c:v>241</c:v>
                </c:pt>
                <c:pt idx="488">
                  <c:v>247</c:v>
                </c:pt>
                <c:pt idx="489">
                  <c:v>244.5</c:v>
                </c:pt>
                <c:pt idx="490">
                  <c:v>242.5</c:v>
                </c:pt>
                <c:pt idx="491">
                  <c:v>248</c:v>
                </c:pt>
                <c:pt idx="492">
                  <c:v>265</c:v>
                </c:pt>
                <c:pt idx="493">
                  <c:v>280</c:v>
                </c:pt>
                <c:pt idx="494">
                  <c:v>273.5</c:v>
                </c:pt>
                <c:pt idx="495">
                  <c:v>273.5</c:v>
                </c:pt>
                <c:pt idx="496">
                  <c:v>289.5</c:v>
                </c:pt>
                <c:pt idx="497">
                  <c:v>315</c:v>
                </c:pt>
                <c:pt idx="498">
                  <c:v>337.5</c:v>
                </c:pt>
                <c:pt idx="499">
                  <c:v>327.5</c:v>
                </c:pt>
                <c:pt idx="500">
                  <c:v>328.5</c:v>
                </c:pt>
                <c:pt idx="501">
                  <c:v>324</c:v>
                </c:pt>
                <c:pt idx="502">
                  <c:v>323.5</c:v>
                </c:pt>
                <c:pt idx="503">
                  <c:v>336.5</c:v>
                </c:pt>
                <c:pt idx="504">
                  <c:v>338</c:v>
                </c:pt>
                <c:pt idx="505">
                  <c:v>347.5</c:v>
                </c:pt>
                <c:pt idx="506">
                  <c:v>363</c:v>
                </c:pt>
                <c:pt idx="507">
                  <c:v>372.5</c:v>
                </c:pt>
                <c:pt idx="508">
                  <c:v>368</c:v>
                </c:pt>
                <c:pt idx="509">
                  <c:v>362.5</c:v>
                </c:pt>
                <c:pt idx="510">
                  <c:v>357.5</c:v>
                </c:pt>
                <c:pt idx="511">
                  <c:v>362.5</c:v>
                </c:pt>
                <c:pt idx="512">
                  <c:v>363.5</c:v>
                </c:pt>
                <c:pt idx="513">
                  <c:v>360</c:v>
                </c:pt>
                <c:pt idx="514">
                  <c:v>366</c:v>
                </c:pt>
                <c:pt idx="515">
                  <c:v>363.5</c:v>
                </c:pt>
                <c:pt idx="516">
                  <c:v>359</c:v>
                </c:pt>
                <c:pt idx="517">
                  <c:v>359</c:v>
                </c:pt>
                <c:pt idx="518">
                  <c:v>358</c:v>
                </c:pt>
                <c:pt idx="519">
                  <c:v>351</c:v>
                </c:pt>
                <c:pt idx="520">
                  <c:v>335</c:v>
                </c:pt>
                <c:pt idx="521">
                  <c:v>325</c:v>
                </c:pt>
                <c:pt idx="522">
                  <c:v>312.5</c:v>
                </c:pt>
                <c:pt idx="523">
                  <c:v>310</c:v>
                </c:pt>
                <c:pt idx="524">
                  <c:v>302.5</c:v>
                </c:pt>
                <c:pt idx="525">
                  <c:v>311</c:v>
                </c:pt>
                <c:pt idx="526">
                  <c:v>333</c:v>
                </c:pt>
                <c:pt idx="527">
                  <c:v>342.5</c:v>
                </c:pt>
                <c:pt idx="528">
                  <c:v>347.5</c:v>
                </c:pt>
                <c:pt idx="529">
                  <c:v>365</c:v>
                </c:pt>
                <c:pt idx="530">
                  <c:v>370</c:v>
                </c:pt>
                <c:pt idx="531">
                  <c:v>404.5</c:v>
                </c:pt>
                <c:pt idx="532">
                  <c:v>412.5</c:v>
                </c:pt>
                <c:pt idx="533">
                  <c:v>426</c:v>
                </c:pt>
                <c:pt idx="534">
                  <c:v>461</c:v>
                </c:pt>
                <c:pt idx="535">
                  <c:v>485</c:v>
                </c:pt>
                <c:pt idx="536">
                  <c:v>507.5</c:v>
                </c:pt>
                <c:pt idx="537">
                  <c:v>495</c:v>
                </c:pt>
                <c:pt idx="538">
                  <c:v>465</c:v>
                </c:pt>
                <c:pt idx="539">
                  <c:v>445</c:v>
                </c:pt>
                <c:pt idx="540">
                  <c:v>465</c:v>
                </c:pt>
                <c:pt idx="541">
                  <c:v>465</c:v>
                </c:pt>
                <c:pt idx="542">
                  <c:v>475</c:v>
                </c:pt>
                <c:pt idx="543">
                  <c:v>465</c:v>
                </c:pt>
                <c:pt idx="544">
                  <c:v>469.5</c:v>
                </c:pt>
                <c:pt idx="545">
                  <c:v>475</c:v>
                </c:pt>
                <c:pt idx="546">
                  <c:v>486.5</c:v>
                </c:pt>
                <c:pt idx="547">
                  <c:v>492.5</c:v>
                </c:pt>
                <c:pt idx="548">
                  <c:v>502</c:v>
                </c:pt>
                <c:pt idx="549">
                  <c:v>502.5</c:v>
                </c:pt>
                <c:pt idx="550">
                  <c:v>500</c:v>
                </c:pt>
                <c:pt idx="551">
                  <c:v>470</c:v>
                </c:pt>
                <c:pt idx="552">
                  <c:v>472.5</c:v>
                </c:pt>
                <c:pt idx="553">
                  <c:v>481.5</c:v>
                </c:pt>
                <c:pt idx="554">
                  <c:v>484</c:v>
                </c:pt>
                <c:pt idx="555">
                  <c:v>476.5</c:v>
                </c:pt>
                <c:pt idx="556">
                  <c:v>468</c:v>
                </c:pt>
                <c:pt idx="557">
                  <c:v>462.5</c:v>
                </c:pt>
                <c:pt idx="558">
                  <c:v>460</c:v>
                </c:pt>
                <c:pt idx="559">
                  <c:v>400</c:v>
                </c:pt>
                <c:pt idx="560">
                  <c:v>365</c:v>
                </c:pt>
                <c:pt idx="561">
                  <c:v>333.5</c:v>
                </c:pt>
                <c:pt idx="562">
                  <c:v>307.5</c:v>
                </c:pt>
                <c:pt idx="563">
                  <c:v>315</c:v>
                </c:pt>
                <c:pt idx="564">
                  <c:v>330</c:v>
                </c:pt>
                <c:pt idx="565">
                  <c:v>367.5</c:v>
                </c:pt>
                <c:pt idx="566">
                  <c:v>362.5</c:v>
                </c:pt>
                <c:pt idx="567">
                  <c:v>360</c:v>
                </c:pt>
                <c:pt idx="568">
                  <c:v>364</c:v>
                </c:pt>
                <c:pt idx="569">
                  <c:v>360</c:v>
                </c:pt>
                <c:pt idx="570">
                  <c:v>370</c:v>
                </c:pt>
                <c:pt idx="571">
                  <c:v>377.5</c:v>
                </c:pt>
                <c:pt idx="572">
                  <c:v>387.5</c:v>
                </c:pt>
                <c:pt idx="573">
                  <c:v>390</c:v>
                </c:pt>
                <c:pt idx="574">
                  <c:v>392.5</c:v>
                </c:pt>
                <c:pt idx="575">
                  <c:v>425</c:v>
                </c:pt>
                <c:pt idx="576">
                  <c:v>442.5</c:v>
                </c:pt>
                <c:pt idx="577">
                  <c:v>450</c:v>
                </c:pt>
                <c:pt idx="578">
                  <c:v>493.5</c:v>
                </c:pt>
                <c:pt idx="579">
                  <c:v>508.5</c:v>
                </c:pt>
                <c:pt idx="580">
                  <c:v>508.5</c:v>
                </c:pt>
                <c:pt idx="581">
                  <c:v>516</c:v>
                </c:pt>
                <c:pt idx="582">
                  <c:v>527.5</c:v>
                </c:pt>
                <c:pt idx="583">
                  <c:v>485</c:v>
                </c:pt>
                <c:pt idx="584">
                  <c:v>475</c:v>
                </c:pt>
                <c:pt idx="585">
                  <c:v>455</c:v>
                </c:pt>
                <c:pt idx="586">
                  <c:v>442.5</c:v>
                </c:pt>
                <c:pt idx="587">
                  <c:v>435</c:v>
                </c:pt>
                <c:pt idx="588">
                  <c:v>400</c:v>
                </c:pt>
                <c:pt idx="589">
                  <c:v>367.5</c:v>
                </c:pt>
                <c:pt idx="590">
                  <c:v>357.5</c:v>
                </c:pt>
                <c:pt idx="591">
                  <c:v>402.5</c:v>
                </c:pt>
                <c:pt idx="592">
                  <c:v>380</c:v>
                </c:pt>
                <c:pt idx="593">
                  <c:v>380</c:v>
                </c:pt>
                <c:pt idx="594">
                  <c:v>381.5</c:v>
                </c:pt>
                <c:pt idx="595">
                  <c:v>370</c:v>
                </c:pt>
                <c:pt idx="596">
                  <c:v>365</c:v>
                </c:pt>
                <c:pt idx="597">
                  <c:v>367.5</c:v>
                </c:pt>
                <c:pt idx="598">
                  <c:v>375</c:v>
                </c:pt>
                <c:pt idx="599">
                  <c:v>372.5</c:v>
                </c:pt>
                <c:pt idx="600">
                  <c:v>378.5</c:v>
                </c:pt>
                <c:pt idx="601">
                  <c:v>385</c:v>
                </c:pt>
                <c:pt idx="602">
                  <c:v>385</c:v>
                </c:pt>
                <c:pt idx="603">
                  <c:v>390</c:v>
                </c:pt>
                <c:pt idx="604">
                  <c:v>402.5</c:v>
                </c:pt>
                <c:pt idx="605">
                  <c:v>400</c:v>
                </c:pt>
                <c:pt idx="606">
                  <c:v>383.5</c:v>
                </c:pt>
                <c:pt idx="607">
                  <c:v>377.5</c:v>
                </c:pt>
                <c:pt idx="608">
                  <c:v>365</c:v>
                </c:pt>
                <c:pt idx="609">
                  <c:v>359</c:v>
                </c:pt>
                <c:pt idx="610">
                  <c:v>367</c:v>
                </c:pt>
                <c:pt idx="611">
                  <c:v>365</c:v>
                </c:pt>
                <c:pt idx="612">
                  <c:v>369</c:v>
                </c:pt>
                <c:pt idx="613">
                  <c:v>367.5</c:v>
                </c:pt>
                <c:pt idx="614">
                  <c:v>366.5</c:v>
                </c:pt>
                <c:pt idx="615">
                  <c:v>365</c:v>
                </c:pt>
                <c:pt idx="616">
                  <c:v>367</c:v>
                </c:pt>
                <c:pt idx="617">
                  <c:v>370</c:v>
                </c:pt>
                <c:pt idx="618">
                  <c:v>378</c:v>
                </c:pt>
                <c:pt idx="619">
                  <c:v>385</c:v>
                </c:pt>
                <c:pt idx="620">
                  <c:v>400</c:v>
                </c:pt>
                <c:pt idx="621">
                  <c:v>412.5</c:v>
                </c:pt>
                <c:pt idx="622">
                  <c:v>415</c:v>
                </c:pt>
                <c:pt idx="623">
                  <c:v>387.5</c:v>
                </c:pt>
                <c:pt idx="624">
                  <c:v>380</c:v>
                </c:pt>
                <c:pt idx="625">
                  <c:v>380</c:v>
                </c:pt>
                <c:pt idx="626">
                  <c:v>377.5</c:v>
                </c:pt>
                <c:pt idx="627">
                  <c:v>372.5</c:v>
                </c:pt>
                <c:pt idx="628">
                  <c:v>372.5</c:v>
                </c:pt>
                <c:pt idx="629">
                  <c:v>372.5</c:v>
                </c:pt>
                <c:pt idx="630">
                  <c:v>352.5</c:v>
                </c:pt>
                <c:pt idx="631">
                  <c:v>346</c:v>
                </c:pt>
                <c:pt idx="632">
                  <c:v>353.5</c:v>
                </c:pt>
                <c:pt idx="633">
                  <c:v>347.5</c:v>
                </c:pt>
                <c:pt idx="634">
                  <c:v>342.5</c:v>
                </c:pt>
                <c:pt idx="635">
                  <c:v>340</c:v>
                </c:pt>
                <c:pt idx="636">
                  <c:v>337.5</c:v>
                </c:pt>
                <c:pt idx="637">
                  <c:v>337.5</c:v>
                </c:pt>
                <c:pt idx="638">
                  <c:v>327.5</c:v>
                </c:pt>
                <c:pt idx="639">
                  <c:v>305</c:v>
                </c:pt>
                <c:pt idx="640">
                  <c:v>307.5</c:v>
                </c:pt>
                <c:pt idx="641">
                  <c:v>307.5</c:v>
                </c:pt>
                <c:pt idx="642">
                  <c:v>317.5</c:v>
                </c:pt>
                <c:pt idx="643">
                  <c:v>317.5</c:v>
                </c:pt>
                <c:pt idx="644">
                  <c:v>322.5</c:v>
                </c:pt>
                <c:pt idx="645">
                  <c:v>321.5</c:v>
                </c:pt>
                <c:pt idx="646">
                  <c:v>319</c:v>
                </c:pt>
                <c:pt idx="647">
                  <c:v>312.5</c:v>
                </c:pt>
                <c:pt idx="648">
                  <c:v>298.5</c:v>
                </c:pt>
                <c:pt idx="649">
                  <c:v>289.5</c:v>
                </c:pt>
                <c:pt idx="650">
                  <c:v>280.5</c:v>
                </c:pt>
                <c:pt idx="651">
                  <c:v>270.5</c:v>
                </c:pt>
                <c:pt idx="652">
                  <c:v>275</c:v>
                </c:pt>
                <c:pt idx="653">
                  <c:v>274</c:v>
                </c:pt>
                <c:pt idx="654">
                  <c:v>277.5</c:v>
                </c:pt>
                <c:pt idx="655">
                  <c:v>280</c:v>
                </c:pt>
                <c:pt idx="656">
                  <c:v>282.5</c:v>
                </c:pt>
                <c:pt idx="657">
                  <c:v>285.5</c:v>
                </c:pt>
                <c:pt idx="658">
                  <c:v>286</c:v>
                </c:pt>
                <c:pt idx="659">
                  <c:v>293</c:v>
                </c:pt>
                <c:pt idx="660">
                  <c:v>300.5</c:v>
                </c:pt>
                <c:pt idx="661">
                  <c:v>302.5</c:v>
                </c:pt>
                <c:pt idx="662">
                  <c:v>300</c:v>
                </c:pt>
                <c:pt idx="663">
                  <c:v>307.5</c:v>
                </c:pt>
                <c:pt idx="664">
                  <c:v>313</c:v>
                </c:pt>
                <c:pt idx="665">
                  <c:v>323</c:v>
                </c:pt>
                <c:pt idx="666">
                  <c:v>332.5</c:v>
                </c:pt>
                <c:pt idx="667">
                  <c:v>332.5</c:v>
                </c:pt>
                <c:pt idx="668">
                  <c:v>323.5</c:v>
                </c:pt>
                <c:pt idx="669">
                  <c:v>325</c:v>
                </c:pt>
                <c:pt idx="670">
                  <c:v>335</c:v>
                </c:pt>
                <c:pt idx="671">
                  <c:v>360</c:v>
                </c:pt>
                <c:pt idx="672">
                  <c:v>354</c:v>
                </c:pt>
                <c:pt idx="673">
                  <c:v>351.5</c:v>
                </c:pt>
                <c:pt idx="674">
                  <c:v>337.5</c:v>
                </c:pt>
                <c:pt idx="675">
                  <c:v>333</c:v>
                </c:pt>
                <c:pt idx="676">
                  <c:v>325</c:v>
                </c:pt>
                <c:pt idx="677">
                  <c:v>322.5</c:v>
                </c:pt>
                <c:pt idx="678">
                  <c:v>314.5</c:v>
                </c:pt>
                <c:pt idx="679">
                  <c:v>307.5</c:v>
                </c:pt>
                <c:pt idx="680">
                  <c:v>300</c:v>
                </c:pt>
                <c:pt idx="681">
                  <c:v>290</c:v>
                </c:pt>
                <c:pt idx="682">
                  <c:v>286.5</c:v>
                </c:pt>
                <c:pt idx="683">
                  <c:v>290.5</c:v>
                </c:pt>
                <c:pt idx="684">
                  <c:v>292.5</c:v>
                </c:pt>
                <c:pt idx="685">
                  <c:v>296.5</c:v>
                </c:pt>
                <c:pt idx="686">
                  <c:v>296.5</c:v>
                </c:pt>
                <c:pt idx="687">
                  <c:v>296.5</c:v>
                </c:pt>
                <c:pt idx="688">
                  <c:v>287.5</c:v>
                </c:pt>
                <c:pt idx="689">
                  <c:v>295</c:v>
                </c:pt>
                <c:pt idx="690">
                  <c:v>295</c:v>
                </c:pt>
                <c:pt idx="691">
                  <c:v>300</c:v>
                </c:pt>
                <c:pt idx="692">
                  <c:v>300</c:v>
                </c:pt>
                <c:pt idx="693">
                  <c:v>300</c:v>
                </c:pt>
                <c:pt idx="694">
                  <c:v>302.5</c:v>
                </c:pt>
                <c:pt idx="695">
                  <c:v>301.5</c:v>
                </c:pt>
                <c:pt idx="696">
                  <c:v>292.5</c:v>
                </c:pt>
                <c:pt idx="697">
                  <c:v>295</c:v>
                </c:pt>
                <c:pt idx="698">
                  <c:v>305</c:v>
                </c:pt>
                <c:pt idx="699">
                  <c:v>307.5</c:v>
                </c:pt>
                <c:pt idx="700">
                  <c:v>310.5</c:v>
                </c:pt>
                <c:pt idx="701">
                  <c:v>323.5</c:v>
                </c:pt>
                <c:pt idx="702">
                  <c:v>329.5</c:v>
                </c:pt>
                <c:pt idx="703">
                  <c:v>332.5</c:v>
                </c:pt>
                <c:pt idx="704">
                  <c:v>330</c:v>
                </c:pt>
                <c:pt idx="705">
                  <c:v>327.5</c:v>
                </c:pt>
                <c:pt idx="706">
                  <c:v>320</c:v>
                </c:pt>
                <c:pt idx="707">
                  <c:v>320</c:v>
                </c:pt>
                <c:pt idx="708">
                  <c:v>320</c:v>
                </c:pt>
                <c:pt idx="709">
                  <c:v>320</c:v>
                </c:pt>
                <c:pt idx="710">
                  <c:v>317.5</c:v>
                </c:pt>
                <c:pt idx="711">
                  <c:v>317.5</c:v>
                </c:pt>
                <c:pt idx="712">
                  <c:v>312</c:v>
                </c:pt>
                <c:pt idx="713">
                  <c:v>312</c:v>
                </c:pt>
                <c:pt idx="714">
                  <c:v>306.5</c:v>
                </c:pt>
                <c:pt idx="715">
                  <c:v>302.5</c:v>
                </c:pt>
                <c:pt idx="716">
                  <c:v>300</c:v>
                </c:pt>
                <c:pt idx="717">
                  <c:v>305</c:v>
                </c:pt>
                <c:pt idx="718">
                  <c:v>315</c:v>
                </c:pt>
                <c:pt idx="719">
                  <c:v>315</c:v>
                </c:pt>
                <c:pt idx="720">
                  <c:v>317.5</c:v>
                </c:pt>
                <c:pt idx="721">
                  <c:v>312.5</c:v>
                </c:pt>
                <c:pt idx="722">
                  <c:v>312.5</c:v>
                </c:pt>
                <c:pt idx="723">
                  <c:v>302.5</c:v>
                </c:pt>
                <c:pt idx="724">
                  <c:v>302.5</c:v>
                </c:pt>
                <c:pt idx="725">
                  <c:v>296</c:v>
                </c:pt>
                <c:pt idx="726">
                  <c:v>291</c:v>
                </c:pt>
                <c:pt idx="727">
                  <c:v>284.5</c:v>
                </c:pt>
                <c:pt idx="728">
                  <c:v>275.5</c:v>
                </c:pt>
                <c:pt idx="729">
                  <c:v>270.5</c:v>
                </c:pt>
                <c:pt idx="730">
                  <c:v>260.5</c:v>
                </c:pt>
                <c:pt idx="731">
                  <c:v>260.5</c:v>
                </c:pt>
                <c:pt idx="732">
                  <c:v>257.5</c:v>
                </c:pt>
                <c:pt idx="733">
                  <c:v>249.5</c:v>
                </c:pt>
                <c:pt idx="734">
                  <c:v>247.5</c:v>
                </c:pt>
                <c:pt idx="735">
                  <c:v>250.5</c:v>
                </c:pt>
                <c:pt idx="736">
                  <c:v>260</c:v>
                </c:pt>
                <c:pt idx="737">
                  <c:v>268</c:v>
                </c:pt>
                <c:pt idx="738">
                  <c:v>275.5</c:v>
                </c:pt>
                <c:pt idx="739">
                  <c:v>280.5</c:v>
                </c:pt>
                <c:pt idx="740">
                  <c:v>282.5</c:v>
                </c:pt>
                <c:pt idx="741">
                  <c:v>290.5</c:v>
                </c:pt>
                <c:pt idx="742">
                  <c:v>288</c:v>
                </c:pt>
                <c:pt idx="743">
                  <c:v>287.5</c:v>
                </c:pt>
                <c:pt idx="744">
                  <c:v>286.5</c:v>
                </c:pt>
                <c:pt idx="745">
                  <c:v>282.5</c:v>
                </c:pt>
                <c:pt idx="746">
                  <c:v>279.5</c:v>
                </c:pt>
                <c:pt idx="747">
                  <c:v>267.5</c:v>
                </c:pt>
                <c:pt idx="748">
                  <c:v>265.5</c:v>
                </c:pt>
                <c:pt idx="749">
                  <c:v>261.5</c:v>
                </c:pt>
                <c:pt idx="750">
                  <c:v>267.5</c:v>
                </c:pt>
                <c:pt idx="751">
                  <c:v>273</c:v>
                </c:pt>
                <c:pt idx="752">
                  <c:v>270.5</c:v>
                </c:pt>
                <c:pt idx="753">
                  <c:v>269</c:v>
                </c:pt>
                <c:pt idx="754">
                  <c:v>263.5</c:v>
                </c:pt>
                <c:pt idx="755">
                  <c:v>260</c:v>
                </c:pt>
                <c:pt idx="756">
                  <c:v>252.5</c:v>
                </c:pt>
                <c:pt idx="757">
                  <c:v>245</c:v>
                </c:pt>
                <c:pt idx="758">
                  <c:v>244</c:v>
                </c:pt>
                <c:pt idx="759">
                  <c:v>245.5</c:v>
                </c:pt>
                <c:pt idx="760">
                  <c:v>248.5</c:v>
                </c:pt>
                <c:pt idx="761">
                  <c:v>251.5</c:v>
                </c:pt>
                <c:pt idx="762">
                  <c:v>257.5</c:v>
                </c:pt>
                <c:pt idx="763">
                  <c:v>260</c:v>
                </c:pt>
                <c:pt idx="764">
                  <c:v>260.5</c:v>
                </c:pt>
                <c:pt idx="765">
                  <c:v>255.5</c:v>
                </c:pt>
                <c:pt idx="766">
                  <c:v>246</c:v>
                </c:pt>
                <c:pt idx="767">
                  <c:v>237.5</c:v>
                </c:pt>
                <c:pt idx="768">
                  <c:v>239</c:v>
                </c:pt>
                <c:pt idx="769">
                  <c:v>234.5</c:v>
                </c:pt>
                <c:pt idx="770">
                  <c:v>231.5</c:v>
                </c:pt>
                <c:pt idx="771">
                  <c:v>231.5</c:v>
                </c:pt>
                <c:pt idx="772">
                  <c:v>226.5</c:v>
                </c:pt>
                <c:pt idx="773">
                  <c:v>219.5</c:v>
                </c:pt>
                <c:pt idx="774">
                  <c:v>206</c:v>
                </c:pt>
                <c:pt idx="775">
                  <c:v>184</c:v>
                </c:pt>
                <c:pt idx="776">
                  <c:v>190.5</c:v>
                </c:pt>
                <c:pt idx="777">
                  <c:v>190.5</c:v>
                </c:pt>
                <c:pt idx="778">
                  <c:v>202.5</c:v>
                </c:pt>
                <c:pt idx="779">
                  <c:v>210.5</c:v>
                </c:pt>
                <c:pt idx="780">
                  <c:v>205.5</c:v>
                </c:pt>
                <c:pt idx="781">
                  <c:v>196</c:v>
                </c:pt>
                <c:pt idx="782">
                  <c:v>186.5</c:v>
                </c:pt>
                <c:pt idx="783">
                  <c:v>186.5</c:v>
                </c:pt>
                <c:pt idx="784">
                  <c:v>193.5</c:v>
                </c:pt>
                <c:pt idx="785">
                  <c:v>197.5</c:v>
                </c:pt>
                <c:pt idx="786">
                  <c:v>200</c:v>
                </c:pt>
                <c:pt idx="787">
                  <c:v>202</c:v>
                </c:pt>
                <c:pt idx="788">
                  <c:v>201.5</c:v>
                </c:pt>
                <c:pt idx="789">
                  <c:v>198.5</c:v>
                </c:pt>
                <c:pt idx="790">
                  <c:v>196.5</c:v>
                </c:pt>
                <c:pt idx="791">
                  <c:v>195.5</c:v>
                </c:pt>
                <c:pt idx="792">
                  <c:v>187.5</c:v>
                </c:pt>
                <c:pt idx="793">
                  <c:v>190.5</c:v>
                </c:pt>
                <c:pt idx="794">
                  <c:v>191</c:v>
                </c:pt>
                <c:pt idx="795">
                  <c:v>190.5</c:v>
                </c:pt>
                <c:pt idx="796">
                  <c:v>186</c:v>
                </c:pt>
                <c:pt idx="797">
                  <c:v>186.5</c:v>
                </c:pt>
                <c:pt idx="798">
                  <c:v>181.5</c:v>
                </c:pt>
                <c:pt idx="799">
                  <c:v>175</c:v>
                </c:pt>
                <c:pt idx="800">
                  <c:v>174</c:v>
                </c:pt>
                <c:pt idx="801">
                  <c:v>175.5</c:v>
                </c:pt>
                <c:pt idx="802">
                  <c:v>176.5</c:v>
                </c:pt>
                <c:pt idx="803">
                  <c:v>180</c:v>
                </c:pt>
                <c:pt idx="804">
                  <c:v>182</c:v>
                </c:pt>
                <c:pt idx="805">
                  <c:v>184</c:v>
                </c:pt>
                <c:pt idx="806">
                  <c:v>187</c:v>
                </c:pt>
                <c:pt idx="807">
                  <c:v>189</c:v>
                </c:pt>
                <c:pt idx="808">
                  <c:v>188.5</c:v>
                </c:pt>
                <c:pt idx="809">
                  <c:v>188.5</c:v>
                </c:pt>
                <c:pt idx="810">
                  <c:v>188.5</c:v>
                </c:pt>
                <c:pt idx="811">
                  <c:v>186.5</c:v>
                </c:pt>
                <c:pt idx="812">
                  <c:v>187</c:v>
                </c:pt>
                <c:pt idx="813">
                  <c:v>190.5</c:v>
                </c:pt>
                <c:pt idx="814">
                  <c:v>190.5</c:v>
                </c:pt>
                <c:pt idx="815">
                  <c:v>195</c:v>
                </c:pt>
                <c:pt idx="816">
                  <c:v>207.5</c:v>
                </c:pt>
                <c:pt idx="817">
                  <c:v>220.5</c:v>
                </c:pt>
                <c:pt idx="818">
                  <c:v>220</c:v>
                </c:pt>
                <c:pt idx="819">
                  <c:v>207.5</c:v>
                </c:pt>
                <c:pt idx="820">
                  <c:v>212.5</c:v>
                </c:pt>
                <c:pt idx="821">
                  <c:v>214</c:v>
                </c:pt>
                <c:pt idx="822">
                  <c:v>220.5</c:v>
                </c:pt>
                <c:pt idx="823">
                  <c:v>221.5</c:v>
                </c:pt>
                <c:pt idx="824">
                  <c:v>230.5</c:v>
                </c:pt>
                <c:pt idx="825">
                  <c:v>246.5</c:v>
                </c:pt>
                <c:pt idx="826">
                  <c:v>247.5</c:v>
                </c:pt>
                <c:pt idx="827">
                  <c:v>250</c:v>
                </c:pt>
                <c:pt idx="828">
                  <c:v>250</c:v>
                </c:pt>
                <c:pt idx="829">
                  <c:v>250</c:v>
                </c:pt>
                <c:pt idx="830">
                  <c:v>245</c:v>
                </c:pt>
                <c:pt idx="831">
                  <c:v>242.5</c:v>
                </c:pt>
                <c:pt idx="832">
                  <c:v>239</c:v>
                </c:pt>
                <c:pt idx="833">
                  <c:v>232</c:v>
                </c:pt>
                <c:pt idx="834">
                  <c:v>230.5</c:v>
                </c:pt>
                <c:pt idx="835">
                  <c:v>204</c:v>
                </c:pt>
                <c:pt idx="836">
                  <c:v>208</c:v>
                </c:pt>
                <c:pt idx="837">
                  <c:v>211</c:v>
                </c:pt>
                <c:pt idx="838">
                  <c:v>208</c:v>
                </c:pt>
                <c:pt idx="839">
                  <c:v>202.5</c:v>
                </c:pt>
                <c:pt idx="840">
                  <c:v>183.5</c:v>
                </c:pt>
                <c:pt idx="841">
                  <c:v>179</c:v>
                </c:pt>
                <c:pt idx="842">
                  <c:v>180.5</c:v>
                </c:pt>
                <c:pt idx="843">
                  <c:v>186.5</c:v>
                </c:pt>
                <c:pt idx="844">
                  <c:v>187</c:v>
                </c:pt>
                <c:pt idx="845">
                  <c:v>188.5</c:v>
                </c:pt>
              </c:numCache>
            </c:numRef>
          </c:xVal>
          <c:yVal>
            <c:numRef>
              <c:f>'model (2)'!$D$188:$D$1033</c:f>
              <c:numCache>
                <c:formatCode>_-* #\ ##0_-;\-* #\ ##0_-;_-* "-"??_-;_-@_-</c:formatCode>
                <c:ptCount val="846"/>
                <c:pt idx="0">
                  <c:v>51.5</c:v>
                </c:pt>
                <c:pt idx="1">
                  <c:v>51.5</c:v>
                </c:pt>
                <c:pt idx="2">
                  <c:v>51.5</c:v>
                </c:pt>
                <c:pt idx="3">
                  <c:v>51</c:v>
                </c:pt>
                <c:pt idx="4">
                  <c:v>52</c:v>
                </c:pt>
                <c:pt idx="5">
                  <c:v>55</c:v>
                </c:pt>
                <c:pt idx="6">
                  <c:v>54.5</c:v>
                </c:pt>
                <c:pt idx="7">
                  <c:v>52.5</c:v>
                </c:pt>
                <c:pt idx="8">
                  <c:v>58.5</c:v>
                </c:pt>
                <c:pt idx="9">
                  <c:v>63.5</c:v>
                </c:pt>
                <c:pt idx="10">
                  <c:v>70</c:v>
                </c:pt>
                <c:pt idx="11">
                  <c:v>71</c:v>
                </c:pt>
                <c:pt idx="12">
                  <c:v>72</c:v>
                </c:pt>
                <c:pt idx="13">
                  <c:v>74.5</c:v>
                </c:pt>
                <c:pt idx="14">
                  <c:v>80</c:v>
                </c:pt>
                <c:pt idx="15">
                  <c:v>79</c:v>
                </c:pt>
                <c:pt idx="16">
                  <c:v>75.5</c:v>
                </c:pt>
                <c:pt idx="17">
                  <c:v>72.5</c:v>
                </c:pt>
                <c:pt idx="18">
                  <c:v>71.5</c:v>
                </c:pt>
                <c:pt idx="19">
                  <c:v>71.5</c:v>
                </c:pt>
                <c:pt idx="20">
                  <c:v>66.5</c:v>
                </c:pt>
                <c:pt idx="21">
                  <c:v>67.5</c:v>
                </c:pt>
                <c:pt idx="22">
                  <c:v>64.5</c:v>
                </c:pt>
                <c:pt idx="23">
                  <c:v>63.5</c:v>
                </c:pt>
                <c:pt idx="24">
                  <c:v>62.5</c:v>
                </c:pt>
                <c:pt idx="25">
                  <c:v>57.5</c:v>
                </c:pt>
                <c:pt idx="26">
                  <c:v>57.5</c:v>
                </c:pt>
                <c:pt idx="27">
                  <c:v>57.5</c:v>
                </c:pt>
                <c:pt idx="28">
                  <c:v>58</c:v>
                </c:pt>
                <c:pt idx="29">
                  <c:v>60</c:v>
                </c:pt>
                <c:pt idx="30">
                  <c:v>63</c:v>
                </c:pt>
                <c:pt idx="31">
                  <c:v>76.5</c:v>
                </c:pt>
                <c:pt idx="32">
                  <c:v>82.5</c:v>
                </c:pt>
                <c:pt idx="33">
                  <c:v>100</c:v>
                </c:pt>
                <c:pt idx="34">
                  <c:v>107.5</c:v>
                </c:pt>
                <c:pt idx="35">
                  <c:v>100</c:v>
                </c:pt>
                <c:pt idx="36">
                  <c:v>100</c:v>
                </c:pt>
                <c:pt idx="37">
                  <c:v>97.5</c:v>
                </c:pt>
                <c:pt idx="38">
                  <c:v>97.5</c:v>
                </c:pt>
                <c:pt idx="39">
                  <c:v>97.5</c:v>
                </c:pt>
                <c:pt idx="40">
                  <c:v>97.5</c:v>
                </c:pt>
                <c:pt idx="41">
                  <c:v>97.5</c:v>
                </c:pt>
                <c:pt idx="42">
                  <c:v>91.5</c:v>
                </c:pt>
                <c:pt idx="43">
                  <c:v>90.5</c:v>
                </c:pt>
                <c:pt idx="44">
                  <c:v>82.5</c:v>
                </c:pt>
                <c:pt idx="45">
                  <c:v>79</c:v>
                </c:pt>
                <c:pt idx="46">
                  <c:v>76</c:v>
                </c:pt>
                <c:pt idx="47">
                  <c:v>76</c:v>
                </c:pt>
                <c:pt idx="48">
                  <c:v>61</c:v>
                </c:pt>
                <c:pt idx="49">
                  <c:v>60.5</c:v>
                </c:pt>
                <c:pt idx="50">
                  <c:v>60.5</c:v>
                </c:pt>
                <c:pt idx="51">
                  <c:v>50</c:v>
                </c:pt>
                <c:pt idx="52">
                  <c:v>50</c:v>
                </c:pt>
                <c:pt idx="53">
                  <c:v>48</c:v>
                </c:pt>
                <c:pt idx="54">
                  <c:v>48</c:v>
                </c:pt>
                <c:pt idx="55">
                  <c:v>55</c:v>
                </c:pt>
                <c:pt idx="56">
                  <c:v>55.5</c:v>
                </c:pt>
                <c:pt idx="57">
                  <c:v>57</c:v>
                </c:pt>
                <c:pt idx="58">
                  <c:v>57</c:v>
                </c:pt>
                <c:pt idx="59">
                  <c:v>60</c:v>
                </c:pt>
                <c:pt idx="60">
                  <c:v>60</c:v>
                </c:pt>
                <c:pt idx="61">
                  <c:v>58.5</c:v>
                </c:pt>
                <c:pt idx="62">
                  <c:v>58.5</c:v>
                </c:pt>
                <c:pt idx="63">
                  <c:v>58.5</c:v>
                </c:pt>
                <c:pt idx="64">
                  <c:v>56.5</c:v>
                </c:pt>
                <c:pt idx="65">
                  <c:v>57</c:v>
                </c:pt>
                <c:pt idx="66">
                  <c:v>56.5</c:v>
                </c:pt>
                <c:pt idx="67">
                  <c:v>52</c:v>
                </c:pt>
                <c:pt idx="68">
                  <c:v>57</c:v>
                </c:pt>
                <c:pt idx="69">
                  <c:v>59.5</c:v>
                </c:pt>
                <c:pt idx="70">
                  <c:v>62</c:v>
                </c:pt>
                <c:pt idx="71">
                  <c:v>59</c:v>
                </c:pt>
                <c:pt idx="72">
                  <c:v>59</c:v>
                </c:pt>
                <c:pt idx="73">
                  <c:v>58</c:v>
                </c:pt>
                <c:pt idx="74">
                  <c:v>60</c:v>
                </c:pt>
                <c:pt idx="75">
                  <c:v>61.5</c:v>
                </c:pt>
                <c:pt idx="76">
                  <c:v>62</c:v>
                </c:pt>
                <c:pt idx="77">
                  <c:v>62</c:v>
                </c:pt>
                <c:pt idx="78">
                  <c:v>64.5</c:v>
                </c:pt>
                <c:pt idx="79">
                  <c:v>67</c:v>
                </c:pt>
                <c:pt idx="80">
                  <c:v>67</c:v>
                </c:pt>
                <c:pt idx="81">
                  <c:v>67</c:v>
                </c:pt>
                <c:pt idx="82">
                  <c:v>83</c:v>
                </c:pt>
                <c:pt idx="83">
                  <c:v>83</c:v>
                </c:pt>
                <c:pt idx="84">
                  <c:v>83</c:v>
                </c:pt>
                <c:pt idx="85">
                  <c:v>79</c:v>
                </c:pt>
                <c:pt idx="86">
                  <c:v>77.5</c:v>
                </c:pt>
                <c:pt idx="87">
                  <c:v>77.5</c:v>
                </c:pt>
                <c:pt idx="88">
                  <c:v>77.5</c:v>
                </c:pt>
                <c:pt idx="89">
                  <c:v>77.5</c:v>
                </c:pt>
                <c:pt idx="90">
                  <c:v>77.5</c:v>
                </c:pt>
                <c:pt idx="91">
                  <c:v>76</c:v>
                </c:pt>
                <c:pt idx="92">
                  <c:v>75.5</c:v>
                </c:pt>
                <c:pt idx="93">
                  <c:v>70</c:v>
                </c:pt>
                <c:pt idx="94">
                  <c:v>66</c:v>
                </c:pt>
                <c:pt idx="95">
                  <c:v>64</c:v>
                </c:pt>
                <c:pt idx="96">
                  <c:v>65</c:v>
                </c:pt>
                <c:pt idx="97">
                  <c:v>65</c:v>
                </c:pt>
                <c:pt idx="98">
                  <c:v>62</c:v>
                </c:pt>
                <c:pt idx="99">
                  <c:v>61</c:v>
                </c:pt>
                <c:pt idx="100">
                  <c:v>62.5</c:v>
                </c:pt>
                <c:pt idx="101">
                  <c:v>63.5</c:v>
                </c:pt>
                <c:pt idx="102">
                  <c:v>64</c:v>
                </c:pt>
                <c:pt idx="103">
                  <c:v>64</c:v>
                </c:pt>
                <c:pt idx="104">
                  <c:v>64</c:v>
                </c:pt>
                <c:pt idx="105">
                  <c:v>64</c:v>
                </c:pt>
                <c:pt idx="106">
                  <c:v>64</c:v>
                </c:pt>
                <c:pt idx="107">
                  <c:v>62</c:v>
                </c:pt>
                <c:pt idx="108">
                  <c:v>61.5</c:v>
                </c:pt>
                <c:pt idx="109">
                  <c:v>59.5</c:v>
                </c:pt>
                <c:pt idx="110">
                  <c:v>61</c:v>
                </c:pt>
                <c:pt idx="111">
                  <c:v>60.5</c:v>
                </c:pt>
                <c:pt idx="112">
                  <c:v>64</c:v>
                </c:pt>
                <c:pt idx="113">
                  <c:v>64</c:v>
                </c:pt>
                <c:pt idx="114">
                  <c:v>64</c:v>
                </c:pt>
                <c:pt idx="115">
                  <c:v>64</c:v>
                </c:pt>
                <c:pt idx="116">
                  <c:v>64</c:v>
                </c:pt>
                <c:pt idx="117">
                  <c:v>59.5</c:v>
                </c:pt>
                <c:pt idx="118">
                  <c:v>59.5</c:v>
                </c:pt>
                <c:pt idx="119">
                  <c:v>59.5</c:v>
                </c:pt>
                <c:pt idx="120">
                  <c:v>61</c:v>
                </c:pt>
                <c:pt idx="121">
                  <c:v>61</c:v>
                </c:pt>
                <c:pt idx="122">
                  <c:v>60.5</c:v>
                </c:pt>
                <c:pt idx="123">
                  <c:v>58</c:v>
                </c:pt>
                <c:pt idx="124">
                  <c:v>56</c:v>
                </c:pt>
                <c:pt idx="125">
                  <c:v>56</c:v>
                </c:pt>
                <c:pt idx="126">
                  <c:v>56</c:v>
                </c:pt>
                <c:pt idx="127">
                  <c:v>64</c:v>
                </c:pt>
                <c:pt idx="128">
                  <c:v>62</c:v>
                </c:pt>
                <c:pt idx="129">
                  <c:v>62</c:v>
                </c:pt>
                <c:pt idx="130">
                  <c:v>64</c:v>
                </c:pt>
                <c:pt idx="131">
                  <c:v>67.5</c:v>
                </c:pt>
                <c:pt idx="132">
                  <c:v>67.5</c:v>
                </c:pt>
                <c:pt idx="133">
                  <c:v>67.5</c:v>
                </c:pt>
                <c:pt idx="134">
                  <c:v>67.5</c:v>
                </c:pt>
                <c:pt idx="135">
                  <c:v>77.5</c:v>
                </c:pt>
                <c:pt idx="136">
                  <c:v>87.5</c:v>
                </c:pt>
                <c:pt idx="137">
                  <c:v>87.5</c:v>
                </c:pt>
                <c:pt idx="138">
                  <c:v>96.5</c:v>
                </c:pt>
                <c:pt idx="139">
                  <c:v>97.5</c:v>
                </c:pt>
                <c:pt idx="140">
                  <c:v>99</c:v>
                </c:pt>
                <c:pt idx="141">
                  <c:v>99</c:v>
                </c:pt>
                <c:pt idx="142">
                  <c:v>99</c:v>
                </c:pt>
                <c:pt idx="143">
                  <c:v>92.5</c:v>
                </c:pt>
                <c:pt idx="144">
                  <c:v>91</c:v>
                </c:pt>
                <c:pt idx="145">
                  <c:v>91</c:v>
                </c:pt>
                <c:pt idx="146">
                  <c:v>89.5</c:v>
                </c:pt>
                <c:pt idx="147">
                  <c:v>67.5</c:v>
                </c:pt>
                <c:pt idx="148">
                  <c:v>63.5</c:v>
                </c:pt>
                <c:pt idx="149">
                  <c:v>62.5</c:v>
                </c:pt>
                <c:pt idx="150">
                  <c:v>69</c:v>
                </c:pt>
                <c:pt idx="151">
                  <c:v>69</c:v>
                </c:pt>
                <c:pt idx="152">
                  <c:v>67.5</c:v>
                </c:pt>
                <c:pt idx="153">
                  <c:v>70</c:v>
                </c:pt>
                <c:pt idx="154">
                  <c:v>69</c:v>
                </c:pt>
                <c:pt idx="155">
                  <c:v>69</c:v>
                </c:pt>
                <c:pt idx="156">
                  <c:v>73</c:v>
                </c:pt>
                <c:pt idx="157">
                  <c:v>73</c:v>
                </c:pt>
                <c:pt idx="158">
                  <c:v>82.5</c:v>
                </c:pt>
                <c:pt idx="159">
                  <c:v>84</c:v>
                </c:pt>
                <c:pt idx="160">
                  <c:v>81</c:v>
                </c:pt>
                <c:pt idx="161">
                  <c:v>81</c:v>
                </c:pt>
                <c:pt idx="162">
                  <c:v>80.5</c:v>
                </c:pt>
                <c:pt idx="163">
                  <c:v>83</c:v>
                </c:pt>
                <c:pt idx="164">
                  <c:v>84.5</c:v>
                </c:pt>
                <c:pt idx="165">
                  <c:v>91</c:v>
                </c:pt>
                <c:pt idx="166">
                  <c:v>91</c:v>
                </c:pt>
                <c:pt idx="167">
                  <c:v>91</c:v>
                </c:pt>
                <c:pt idx="168">
                  <c:v>92</c:v>
                </c:pt>
                <c:pt idx="169">
                  <c:v>96</c:v>
                </c:pt>
                <c:pt idx="170">
                  <c:v>97.5</c:v>
                </c:pt>
                <c:pt idx="171">
                  <c:v>103.5</c:v>
                </c:pt>
                <c:pt idx="172">
                  <c:v>116</c:v>
                </c:pt>
                <c:pt idx="173">
                  <c:v>117</c:v>
                </c:pt>
                <c:pt idx="174">
                  <c:v>117</c:v>
                </c:pt>
                <c:pt idx="175">
                  <c:v>117</c:v>
                </c:pt>
                <c:pt idx="176">
                  <c:v>115</c:v>
                </c:pt>
                <c:pt idx="177">
                  <c:v>114</c:v>
                </c:pt>
                <c:pt idx="178">
                  <c:v>112.5</c:v>
                </c:pt>
                <c:pt idx="179">
                  <c:v>112.5</c:v>
                </c:pt>
                <c:pt idx="180">
                  <c:v>116</c:v>
                </c:pt>
                <c:pt idx="181">
                  <c:v>119</c:v>
                </c:pt>
                <c:pt idx="182">
                  <c:v>121</c:v>
                </c:pt>
                <c:pt idx="183">
                  <c:v>125.5</c:v>
                </c:pt>
                <c:pt idx="184">
                  <c:v>127.5</c:v>
                </c:pt>
                <c:pt idx="185">
                  <c:v>130</c:v>
                </c:pt>
                <c:pt idx="186">
                  <c:v>132.5</c:v>
                </c:pt>
                <c:pt idx="187">
                  <c:v>130</c:v>
                </c:pt>
                <c:pt idx="188">
                  <c:v>119</c:v>
                </c:pt>
                <c:pt idx="189">
                  <c:v>117.5</c:v>
                </c:pt>
                <c:pt idx="190">
                  <c:v>117.5</c:v>
                </c:pt>
                <c:pt idx="191">
                  <c:v>116.5</c:v>
                </c:pt>
                <c:pt idx="192">
                  <c:v>125</c:v>
                </c:pt>
                <c:pt idx="193">
                  <c:v>125</c:v>
                </c:pt>
                <c:pt idx="194">
                  <c:v>125</c:v>
                </c:pt>
                <c:pt idx="195">
                  <c:v>131</c:v>
                </c:pt>
                <c:pt idx="196">
                  <c:v>131</c:v>
                </c:pt>
                <c:pt idx="197">
                  <c:v>112.5</c:v>
                </c:pt>
                <c:pt idx="198">
                  <c:v>100</c:v>
                </c:pt>
                <c:pt idx="199">
                  <c:v>95</c:v>
                </c:pt>
                <c:pt idx="200">
                  <c:v>92</c:v>
                </c:pt>
                <c:pt idx="201">
                  <c:v>90</c:v>
                </c:pt>
                <c:pt idx="202">
                  <c:v>89</c:v>
                </c:pt>
                <c:pt idx="203">
                  <c:v>97.5</c:v>
                </c:pt>
                <c:pt idx="204">
                  <c:v>116.5</c:v>
                </c:pt>
                <c:pt idx="205">
                  <c:v>118.5</c:v>
                </c:pt>
                <c:pt idx="206">
                  <c:v>120</c:v>
                </c:pt>
                <c:pt idx="207">
                  <c:v>120.5</c:v>
                </c:pt>
                <c:pt idx="208">
                  <c:v>120</c:v>
                </c:pt>
                <c:pt idx="209">
                  <c:v>112.5</c:v>
                </c:pt>
                <c:pt idx="210">
                  <c:v>128.5</c:v>
                </c:pt>
                <c:pt idx="211">
                  <c:v>128.5</c:v>
                </c:pt>
                <c:pt idx="212">
                  <c:v>123</c:v>
                </c:pt>
                <c:pt idx="213">
                  <c:v>122</c:v>
                </c:pt>
                <c:pt idx="214">
                  <c:v>129</c:v>
                </c:pt>
                <c:pt idx="215">
                  <c:v>129</c:v>
                </c:pt>
                <c:pt idx="216">
                  <c:v>126.5</c:v>
                </c:pt>
                <c:pt idx="217">
                  <c:v>126.5</c:v>
                </c:pt>
                <c:pt idx="218">
                  <c:v>126.5</c:v>
                </c:pt>
                <c:pt idx="219">
                  <c:v>131</c:v>
                </c:pt>
                <c:pt idx="220">
                  <c:v>141</c:v>
                </c:pt>
                <c:pt idx="221">
                  <c:v>148.5</c:v>
                </c:pt>
                <c:pt idx="222">
                  <c:v>149.5</c:v>
                </c:pt>
                <c:pt idx="223">
                  <c:v>155.5</c:v>
                </c:pt>
                <c:pt idx="224">
                  <c:v>156</c:v>
                </c:pt>
                <c:pt idx="225">
                  <c:v>153.5</c:v>
                </c:pt>
                <c:pt idx="226">
                  <c:v>151.5</c:v>
                </c:pt>
                <c:pt idx="227">
                  <c:v>148</c:v>
                </c:pt>
                <c:pt idx="228">
                  <c:v>148</c:v>
                </c:pt>
                <c:pt idx="229">
                  <c:v>148</c:v>
                </c:pt>
                <c:pt idx="230">
                  <c:v>148</c:v>
                </c:pt>
                <c:pt idx="231">
                  <c:v>148</c:v>
                </c:pt>
                <c:pt idx="232">
                  <c:v>137.5</c:v>
                </c:pt>
                <c:pt idx="233">
                  <c:v>137.5</c:v>
                </c:pt>
                <c:pt idx="234">
                  <c:v>125.5</c:v>
                </c:pt>
                <c:pt idx="235">
                  <c:v>135.5</c:v>
                </c:pt>
                <c:pt idx="236">
                  <c:v>128</c:v>
                </c:pt>
                <c:pt idx="237">
                  <c:v>128</c:v>
                </c:pt>
                <c:pt idx="238">
                  <c:v>128</c:v>
                </c:pt>
                <c:pt idx="239">
                  <c:v>128</c:v>
                </c:pt>
                <c:pt idx="240">
                  <c:v>142.5</c:v>
                </c:pt>
                <c:pt idx="241">
                  <c:v>151.5</c:v>
                </c:pt>
                <c:pt idx="242">
                  <c:v>155</c:v>
                </c:pt>
                <c:pt idx="243">
                  <c:v>156.5</c:v>
                </c:pt>
                <c:pt idx="244">
                  <c:v>156.5</c:v>
                </c:pt>
                <c:pt idx="245">
                  <c:v>151</c:v>
                </c:pt>
                <c:pt idx="246">
                  <c:v>237.5</c:v>
                </c:pt>
                <c:pt idx="247">
                  <c:v>146.5</c:v>
                </c:pt>
                <c:pt idx="248">
                  <c:v>142.5</c:v>
                </c:pt>
                <c:pt idx="249">
                  <c:v>141</c:v>
                </c:pt>
                <c:pt idx="250">
                  <c:v>147.5</c:v>
                </c:pt>
                <c:pt idx="251">
                  <c:v>150</c:v>
                </c:pt>
                <c:pt idx="252">
                  <c:v>150</c:v>
                </c:pt>
                <c:pt idx="253">
                  <c:v>142.5</c:v>
                </c:pt>
                <c:pt idx="254">
                  <c:v>143</c:v>
                </c:pt>
                <c:pt idx="255">
                  <c:v>142.5</c:v>
                </c:pt>
                <c:pt idx="256">
                  <c:v>107.5</c:v>
                </c:pt>
                <c:pt idx="257">
                  <c:v>102</c:v>
                </c:pt>
                <c:pt idx="258">
                  <c:v>119</c:v>
                </c:pt>
                <c:pt idx="259">
                  <c:v>116.5</c:v>
                </c:pt>
                <c:pt idx="260">
                  <c:v>112.5</c:v>
                </c:pt>
                <c:pt idx="261">
                  <c:v>120</c:v>
                </c:pt>
                <c:pt idx="262">
                  <c:v>122.5</c:v>
                </c:pt>
                <c:pt idx="263">
                  <c:v>122.5</c:v>
                </c:pt>
                <c:pt idx="264">
                  <c:v>114.5</c:v>
                </c:pt>
                <c:pt idx="265">
                  <c:v>120</c:v>
                </c:pt>
                <c:pt idx="266">
                  <c:v>119.5</c:v>
                </c:pt>
                <c:pt idx="267">
                  <c:v>135</c:v>
                </c:pt>
                <c:pt idx="268">
                  <c:v>145.5</c:v>
                </c:pt>
                <c:pt idx="269">
                  <c:v>152.5</c:v>
                </c:pt>
                <c:pt idx="270">
                  <c:v>141</c:v>
                </c:pt>
                <c:pt idx="271">
                  <c:v>141</c:v>
                </c:pt>
                <c:pt idx="272">
                  <c:v>141</c:v>
                </c:pt>
                <c:pt idx="273">
                  <c:v>141</c:v>
                </c:pt>
                <c:pt idx="274">
                  <c:v>132.5</c:v>
                </c:pt>
                <c:pt idx="275">
                  <c:v>127.5</c:v>
                </c:pt>
                <c:pt idx="276">
                  <c:v>134.5</c:v>
                </c:pt>
                <c:pt idx="277">
                  <c:v>134</c:v>
                </c:pt>
                <c:pt idx="278">
                  <c:v>134</c:v>
                </c:pt>
                <c:pt idx="279">
                  <c:v>131.5</c:v>
                </c:pt>
                <c:pt idx="280">
                  <c:v>122.5</c:v>
                </c:pt>
                <c:pt idx="281">
                  <c:v>122.5</c:v>
                </c:pt>
                <c:pt idx="282">
                  <c:v>137</c:v>
                </c:pt>
                <c:pt idx="283">
                  <c:v>136.5</c:v>
                </c:pt>
                <c:pt idx="284">
                  <c:v>132</c:v>
                </c:pt>
                <c:pt idx="285">
                  <c:v>139</c:v>
                </c:pt>
                <c:pt idx="286">
                  <c:v>145</c:v>
                </c:pt>
                <c:pt idx="287">
                  <c:v>146</c:v>
                </c:pt>
                <c:pt idx="288">
                  <c:v>145</c:v>
                </c:pt>
                <c:pt idx="289">
                  <c:v>155.5</c:v>
                </c:pt>
                <c:pt idx="290">
                  <c:v>157.5</c:v>
                </c:pt>
                <c:pt idx="291">
                  <c:v>158.5</c:v>
                </c:pt>
                <c:pt idx="292">
                  <c:v>158.5</c:v>
                </c:pt>
                <c:pt idx="293">
                  <c:v>166.5</c:v>
                </c:pt>
                <c:pt idx="294">
                  <c:v>168.5</c:v>
                </c:pt>
                <c:pt idx="295">
                  <c:v>155</c:v>
                </c:pt>
                <c:pt idx="296">
                  <c:v>142.5</c:v>
                </c:pt>
                <c:pt idx="297">
                  <c:v>137.5</c:v>
                </c:pt>
                <c:pt idx="298">
                  <c:v>135</c:v>
                </c:pt>
                <c:pt idx="299">
                  <c:v>136.5</c:v>
                </c:pt>
                <c:pt idx="300">
                  <c:v>137.5</c:v>
                </c:pt>
                <c:pt idx="301">
                  <c:v>138.5</c:v>
                </c:pt>
                <c:pt idx="302">
                  <c:v>135.5</c:v>
                </c:pt>
                <c:pt idx="303">
                  <c:v>128.5</c:v>
                </c:pt>
                <c:pt idx="304">
                  <c:v>122.5</c:v>
                </c:pt>
                <c:pt idx="305">
                  <c:v>122</c:v>
                </c:pt>
                <c:pt idx="306">
                  <c:v>121</c:v>
                </c:pt>
                <c:pt idx="307">
                  <c:v>121</c:v>
                </c:pt>
                <c:pt idx="308">
                  <c:v>125</c:v>
                </c:pt>
                <c:pt idx="309">
                  <c:v>127</c:v>
                </c:pt>
                <c:pt idx="310">
                  <c:v>134</c:v>
                </c:pt>
                <c:pt idx="311">
                  <c:v>142</c:v>
                </c:pt>
                <c:pt idx="312">
                  <c:v>141</c:v>
                </c:pt>
                <c:pt idx="313">
                  <c:v>142</c:v>
                </c:pt>
                <c:pt idx="314">
                  <c:v>142</c:v>
                </c:pt>
                <c:pt idx="315">
                  <c:v>145.5</c:v>
                </c:pt>
                <c:pt idx="316">
                  <c:v>148.5</c:v>
                </c:pt>
                <c:pt idx="317">
                  <c:v>148.5</c:v>
                </c:pt>
                <c:pt idx="318">
                  <c:v>147</c:v>
                </c:pt>
                <c:pt idx="319">
                  <c:v>144</c:v>
                </c:pt>
                <c:pt idx="320">
                  <c:v>142.5</c:v>
                </c:pt>
                <c:pt idx="321">
                  <c:v>141.5</c:v>
                </c:pt>
                <c:pt idx="322">
                  <c:v>142.5</c:v>
                </c:pt>
                <c:pt idx="323">
                  <c:v>142.5</c:v>
                </c:pt>
                <c:pt idx="324">
                  <c:v>148</c:v>
                </c:pt>
                <c:pt idx="325">
                  <c:v>151</c:v>
                </c:pt>
                <c:pt idx="326">
                  <c:v>148.5</c:v>
                </c:pt>
                <c:pt idx="327">
                  <c:v>154</c:v>
                </c:pt>
                <c:pt idx="328">
                  <c:v>157.5</c:v>
                </c:pt>
                <c:pt idx="329">
                  <c:v>163.5</c:v>
                </c:pt>
                <c:pt idx="330">
                  <c:v>164</c:v>
                </c:pt>
                <c:pt idx="331">
                  <c:v>165</c:v>
                </c:pt>
                <c:pt idx="332">
                  <c:v>163.5</c:v>
                </c:pt>
                <c:pt idx="333">
                  <c:v>171.5</c:v>
                </c:pt>
                <c:pt idx="334">
                  <c:v>170.5</c:v>
                </c:pt>
                <c:pt idx="335">
                  <c:v>169</c:v>
                </c:pt>
                <c:pt idx="336">
                  <c:v>171</c:v>
                </c:pt>
                <c:pt idx="337">
                  <c:v>176</c:v>
                </c:pt>
                <c:pt idx="338">
                  <c:v>177.5</c:v>
                </c:pt>
                <c:pt idx="339">
                  <c:v>179.5</c:v>
                </c:pt>
                <c:pt idx="340">
                  <c:v>185</c:v>
                </c:pt>
                <c:pt idx="341">
                  <c:v>191</c:v>
                </c:pt>
                <c:pt idx="342">
                  <c:v>195</c:v>
                </c:pt>
                <c:pt idx="343">
                  <c:v>210</c:v>
                </c:pt>
                <c:pt idx="344">
                  <c:v>210</c:v>
                </c:pt>
                <c:pt idx="345">
                  <c:v>208.5</c:v>
                </c:pt>
                <c:pt idx="346">
                  <c:v>210</c:v>
                </c:pt>
                <c:pt idx="347">
                  <c:v>205</c:v>
                </c:pt>
                <c:pt idx="348">
                  <c:v>197.5</c:v>
                </c:pt>
                <c:pt idx="349">
                  <c:v>185</c:v>
                </c:pt>
                <c:pt idx="350">
                  <c:v>177.5</c:v>
                </c:pt>
                <c:pt idx="351">
                  <c:v>172.5</c:v>
                </c:pt>
                <c:pt idx="352">
                  <c:v>167.5</c:v>
                </c:pt>
                <c:pt idx="353">
                  <c:v>157.5</c:v>
                </c:pt>
                <c:pt idx="354">
                  <c:v>150</c:v>
                </c:pt>
                <c:pt idx="355">
                  <c:v>157</c:v>
                </c:pt>
                <c:pt idx="356">
                  <c:v>157.5</c:v>
                </c:pt>
                <c:pt idx="357">
                  <c:v>157.5</c:v>
                </c:pt>
                <c:pt idx="358">
                  <c:v>162.5</c:v>
                </c:pt>
                <c:pt idx="359">
                  <c:v>164</c:v>
                </c:pt>
                <c:pt idx="360">
                  <c:v>165</c:v>
                </c:pt>
                <c:pt idx="361">
                  <c:v>165</c:v>
                </c:pt>
                <c:pt idx="362">
                  <c:v>167.5</c:v>
                </c:pt>
                <c:pt idx="363">
                  <c:v>177.5</c:v>
                </c:pt>
                <c:pt idx="364">
                  <c:v>180</c:v>
                </c:pt>
                <c:pt idx="365">
                  <c:v>184.5</c:v>
                </c:pt>
                <c:pt idx="366">
                  <c:v>187.5</c:v>
                </c:pt>
                <c:pt idx="367">
                  <c:v>190</c:v>
                </c:pt>
                <c:pt idx="368">
                  <c:v>197</c:v>
                </c:pt>
                <c:pt idx="369">
                  <c:v>202.5</c:v>
                </c:pt>
                <c:pt idx="370">
                  <c:v>207.5</c:v>
                </c:pt>
                <c:pt idx="371">
                  <c:v>214.5</c:v>
                </c:pt>
                <c:pt idx="372">
                  <c:v>215.5</c:v>
                </c:pt>
                <c:pt idx="373">
                  <c:v>216.5</c:v>
                </c:pt>
                <c:pt idx="374">
                  <c:v>217.5</c:v>
                </c:pt>
                <c:pt idx="375">
                  <c:v>224</c:v>
                </c:pt>
                <c:pt idx="376">
                  <c:v>240.5</c:v>
                </c:pt>
                <c:pt idx="377">
                  <c:v>254</c:v>
                </c:pt>
                <c:pt idx="378">
                  <c:v>272.5</c:v>
                </c:pt>
                <c:pt idx="379">
                  <c:v>298.5</c:v>
                </c:pt>
                <c:pt idx="380">
                  <c:v>297</c:v>
                </c:pt>
                <c:pt idx="381">
                  <c:v>300.5</c:v>
                </c:pt>
                <c:pt idx="382">
                  <c:v>315</c:v>
                </c:pt>
                <c:pt idx="383">
                  <c:v>317.5</c:v>
                </c:pt>
                <c:pt idx="384">
                  <c:v>322.5</c:v>
                </c:pt>
                <c:pt idx="385">
                  <c:v>325</c:v>
                </c:pt>
                <c:pt idx="386">
                  <c:v>324</c:v>
                </c:pt>
                <c:pt idx="387">
                  <c:v>322.5</c:v>
                </c:pt>
                <c:pt idx="388">
                  <c:v>305</c:v>
                </c:pt>
                <c:pt idx="389">
                  <c:v>300</c:v>
                </c:pt>
                <c:pt idx="390">
                  <c:v>302.5</c:v>
                </c:pt>
                <c:pt idx="391">
                  <c:v>300</c:v>
                </c:pt>
                <c:pt idx="392">
                  <c:v>307.5</c:v>
                </c:pt>
                <c:pt idx="393">
                  <c:v>305</c:v>
                </c:pt>
                <c:pt idx="394">
                  <c:v>310</c:v>
                </c:pt>
                <c:pt idx="395">
                  <c:v>320</c:v>
                </c:pt>
                <c:pt idx="396">
                  <c:v>318.5</c:v>
                </c:pt>
                <c:pt idx="397">
                  <c:v>318.5</c:v>
                </c:pt>
                <c:pt idx="398">
                  <c:v>310</c:v>
                </c:pt>
                <c:pt idx="399">
                  <c:v>327.5</c:v>
                </c:pt>
                <c:pt idx="400">
                  <c:v>345</c:v>
                </c:pt>
                <c:pt idx="401">
                  <c:v>290</c:v>
                </c:pt>
                <c:pt idx="402">
                  <c:v>255</c:v>
                </c:pt>
                <c:pt idx="403">
                  <c:v>192.5</c:v>
                </c:pt>
                <c:pt idx="404">
                  <c:v>170</c:v>
                </c:pt>
                <c:pt idx="405">
                  <c:v>165</c:v>
                </c:pt>
                <c:pt idx="406">
                  <c:v>155</c:v>
                </c:pt>
                <c:pt idx="407">
                  <c:v>142.5</c:v>
                </c:pt>
                <c:pt idx="408">
                  <c:v>142.5</c:v>
                </c:pt>
                <c:pt idx="409">
                  <c:v>142.5</c:v>
                </c:pt>
                <c:pt idx="410">
                  <c:v>137.5</c:v>
                </c:pt>
                <c:pt idx="411">
                  <c:v>127.5</c:v>
                </c:pt>
                <c:pt idx="412">
                  <c:v>147.5</c:v>
                </c:pt>
                <c:pt idx="413">
                  <c:v>167.5</c:v>
                </c:pt>
                <c:pt idx="414">
                  <c:v>180</c:v>
                </c:pt>
                <c:pt idx="415">
                  <c:v>190</c:v>
                </c:pt>
                <c:pt idx="416">
                  <c:v>195</c:v>
                </c:pt>
                <c:pt idx="417">
                  <c:v>200</c:v>
                </c:pt>
                <c:pt idx="418">
                  <c:v>204</c:v>
                </c:pt>
                <c:pt idx="419">
                  <c:v>202.5</c:v>
                </c:pt>
                <c:pt idx="420">
                  <c:v>192.5</c:v>
                </c:pt>
                <c:pt idx="421">
                  <c:v>187.5</c:v>
                </c:pt>
                <c:pt idx="422">
                  <c:v>170</c:v>
                </c:pt>
                <c:pt idx="423">
                  <c:v>165</c:v>
                </c:pt>
                <c:pt idx="424">
                  <c:v>150</c:v>
                </c:pt>
                <c:pt idx="425">
                  <c:v>142.5</c:v>
                </c:pt>
                <c:pt idx="426">
                  <c:v>134</c:v>
                </c:pt>
                <c:pt idx="427">
                  <c:v>141.5</c:v>
                </c:pt>
                <c:pt idx="428">
                  <c:v>143.5</c:v>
                </c:pt>
                <c:pt idx="429">
                  <c:v>142.5</c:v>
                </c:pt>
                <c:pt idx="430">
                  <c:v>142.5</c:v>
                </c:pt>
                <c:pt idx="431">
                  <c:v>140.5</c:v>
                </c:pt>
                <c:pt idx="432">
                  <c:v>140</c:v>
                </c:pt>
                <c:pt idx="433">
                  <c:v>140</c:v>
                </c:pt>
                <c:pt idx="434">
                  <c:v>141</c:v>
                </c:pt>
                <c:pt idx="435">
                  <c:v>140.5</c:v>
                </c:pt>
                <c:pt idx="436">
                  <c:v>139</c:v>
                </c:pt>
                <c:pt idx="437">
                  <c:v>140</c:v>
                </c:pt>
                <c:pt idx="438">
                  <c:v>160.5</c:v>
                </c:pt>
                <c:pt idx="439">
                  <c:v>175</c:v>
                </c:pt>
                <c:pt idx="440">
                  <c:v>187</c:v>
                </c:pt>
                <c:pt idx="441">
                  <c:v>187.5</c:v>
                </c:pt>
                <c:pt idx="442">
                  <c:v>185.5</c:v>
                </c:pt>
                <c:pt idx="443">
                  <c:v>172</c:v>
                </c:pt>
                <c:pt idx="444">
                  <c:v>172</c:v>
                </c:pt>
                <c:pt idx="445">
                  <c:v>157.5</c:v>
                </c:pt>
                <c:pt idx="446">
                  <c:v>155.5</c:v>
                </c:pt>
                <c:pt idx="447">
                  <c:v>152</c:v>
                </c:pt>
                <c:pt idx="448">
                  <c:v>152</c:v>
                </c:pt>
                <c:pt idx="449">
                  <c:v>151</c:v>
                </c:pt>
                <c:pt idx="450">
                  <c:v>151</c:v>
                </c:pt>
                <c:pt idx="451">
                  <c:v>157.5</c:v>
                </c:pt>
                <c:pt idx="452">
                  <c:v>157</c:v>
                </c:pt>
                <c:pt idx="453">
                  <c:v>163.5</c:v>
                </c:pt>
                <c:pt idx="454">
                  <c:v>165</c:v>
                </c:pt>
                <c:pt idx="455">
                  <c:v>164.5</c:v>
                </c:pt>
                <c:pt idx="456">
                  <c:v>171.5</c:v>
                </c:pt>
                <c:pt idx="457">
                  <c:v>185</c:v>
                </c:pt>
                <c:pt idx="458">
                  <c:v>187.5</c:v>
                </c:pt>
                <c:pt idx="459">
                  <c:v>187.5</c:v>
                </c:pt>
                <c:pt idx="460">
                  <c:v>190</c:v>
                </c:pt>
                <c:pt idx="461">
                  <c:v>192.5</c:v>
                </c:pt>
                <c:pt idx="462">
                  <c:v>200</c:v>
                </c:pt>
                <c:pt idx="463">
                  <c:v>230</c:v>
                </c:pt>
                <c:pt idx="464">
                  <c:v>235</c:v>
                </c:pt>
                <c:pt idx="465">
                  <c:v>250</c:v>
                </c:pt>
                <c:pt idx="466">
                  <c:v>250</c:v>
                </c:pt>
                <c:pt idx="467">
                  <c:v>254</c:v>
                </c:pt>
                <c:pt idx="468">
                  <c:v>258.5</c:v>
                </c:pt>
                <c:pt idx="469">
                  <c:v>258.5</c:v>
                </c:pt>
                <c:pt idx="470">
                  <c:v>252.5</c:v>
                </c:pt>
                <c:pt idx="471">
                  <c:v>229</c:v>
                </c:pt>
                <c:pt idx="472">
                  <c:v>227.5</c:v>
                </c:pt>
                <c:pt idx="473">
                  <c:v>220</c:v>
                </c:pt>
                <c:pt idx="474">
                  <c:v>210</c:v>
                </c:pt>
                <c:pt idx="475">
                  <c:v>203</c:v>
                </c:pt>
                <c:pt idx="476">
                  <c:v>201.5</c:v>
                </c:pt>
                <c:pt idx="477">
                  <c:v>200</c:v>
                </c:pt>
                <c:pt idx="478">
                  <c:v>180</c:v>
                </c:pt>
                <c:pt idx="479">
                  <c:v>175</c:v>
                </c:pt>
                <c:pt idx="480">
                  <c:v>167.5</c:v>
                </c:pt>
                <c:pt idx="481">
                  <c:v>162.5</c:v>
                </c:pt>
                <c:pt idx="482">
                  <c:v>162.5</c:v>
                </c:pt>
                <c:pt idx="483">
                  <c:v>175.5</c:v>
                </c:pt>
                <c:pt idx="484">
                  <c:v>178.5</c:v>
                </c:pt>
                <c:pt idx="485">
                  <c:v>187.5</c:v>
                </c:pt>
                <c:pt idx="486">
                  <c:v>205</c:v>
                </c:pt>
                <c:pt idx="487">
                  <c:v>205</c:v>
                </c:pt>
                <c:pt idx="488">
                  <c:v>210</c:v>
                </c:pt>
                <c:pt idx="489">
                  <c:v>212.5</c:v>
                </c:pt>
                <c:pt idx="490">
                  <c:v>210</c:v>
                </c:pt>
                <c:pt idx="491">
                  <c:v>207.5</c:v>
                </c:pt>
                <c:pt idx="492">
                  <c:v>212.5</c:v>
                </c:pt>
                <c:pt idx="493">
                  <c:v>215</c:v>
                </c:pt>
                <c:pt idx="494">
                  <c:v>216</c:v>
                </c:pt>
                <c:pt idx="495">
                  <c:v>217.5</c:v>
                </c:pt>
                <c:pt idx="496">
                  <c:v>227.5</c:v>
                </c:pt>
                <c:pt idx="497">
                  <c:v>250</c:v>
                </c:pt>
                <c:pt idx="498">
                  <c:v>252.5</c:v>
                </c:pt>
                <c:pt idx="499">
                  <c:v>252.5</c:v>
                </c:pt>
                <c:pt idx="500">
                  <c:v>252.5</c:v>
                </c:pt>
                <c:pt idx="501">
                  <c:v>257.5</c:v>
                </c:pt>
                <c:pt idx="502">
                  <c:v>250.5</c:v>
                </c:pt>
                <c:pt idx="503">
                  <c:v>251.5</c:v>
                </c:pt>
                <c:pt idx="504">
                  <c:v>257.5</c:v>
                </c:pt>
                <c:pt idx="505">
                  <c:v>271</c:v>
                </c:pt>
                <c:pt idx="506">
                  <c:v>274</c:v>
                </c:pt>
                <c:pt idx="507">
                  <c:v>298.5</c:v>
                </c:pt>
                <c:pt idx="508">
                  <c:v>302.5</c:v>
                </c:pt>
                <c:pt idx="509">
                  <c:v>305</c:v>
                </c:pt>
                <c:pt idx="510">
                  <c:v>305</c:v>
                </c:pt>
                <c:pt idx="511">
                  <c:v>300</c:v>
                </c:pt>
                <c:pt idx="512">
                  <c:v>297.5</c:v>
                </c:pt>
                <c:pt idx="513">
                  <c:v>300</c:v>
                </c:pt>
                <c:pt idx="514">
                  <c:v>297.5</c:v>
                </c:pt>
                <c:pt idx="515">
                  <c:v>297.5</c:v>
                </c:pt>
                <c:pt idx="516">
                  <c:v>303.5</c:v>
                </c:pt>
                <c:pt idx="517">
                  <c:v>302.5</c:v>
                </c:pt>
                <c:pt idx="518">
                  <c:v>298.5</c:v>
                </c:pt>
                <c:pt idx="519">
                  <c:v>290</c:v>
                </c:pt>
                <c:pt idx="520">
                  <c:v>290</c:v>
                </c:pt>
                <c:pt idx="521">
                  <c:v>295</c:v>
                </c:pt>
                <c:pt idx="522">
                  <c:v>290</c:v>
                </c:pt>
                <c:pt idx="523">
                  <c:v>285</c:v>
                </c:pt>
                <c:pt idx="524">
                  <c:v>280</c:v>
                </c:pt>
                <c:pt idx="525">
                  <c:v>280</c:v>
                </c:pt>
                <c:pt idx="526">
                  <c:v>270</c:v>
                </c:pt>
                <c:pt idx="527">
                  <c:v>261.5</c:v>
                </c:pt>
                <c:pt idx="528">
                  <c:v>265</c:v>
                </c:pt>
                <c:pt idx="529">
                  <c:v>277.5</c:v>
                </c:pt>
                <c:pt idx="530">
                  <c:v>285</c:v>
                </c:pt>
                <c:pt idx="531">
                  <c:v>295</c:v>
                </c:pt>
                <c:pt idx="532">
                  <c:v>320.5</c:v>
                </c:pt>
                <c:pt idx="533">
                  <c:v>330.5</c:v>
                </c:pt>
                <c:pt idx="534">
                  <c:v>342.5</c:v>
                </c:pt>
                <c:pt idx="535">
                  <c:v>360</c:v>
                </c:pt>
                <c:pt idx="536">
                  <c:v>365</c:v>
                </c:pt>
                <c:pt idx="537">
                  <c:v>377.5</c:v>
                </c:pt>
                <c:pt idx="538">
                  <c:v>345</c:v>
                </c:pt>
                <c:pt idx="539">
                  <c:v>300</c:v>
                </c:pt>
                <c:pt idx="540">
                  <c:v>315</c:v>
                </c:pt>
                <c:pt idx="541">
                  <c:v>324.5</c:v>
                </c:pt>
                <c:pt idx="542">
                  <c:v>330</c:v>
                </c:pt>
                <c:pt idx="543">
                  <c:v>320</c:v>
                </c:pt>
                <c:pt idx="544">
                  <c:v>292.5</c:v>
                </c:pt>
                <c:pt idx="545">
                  <c:v>305</c:v>
                </c:pt>
                <c:pt idx="546">
                  <c:v>317.5</c:v>
                </c:pt>
                <c:pt idx="547">
                  <c:v>315</c:v>
                </c:pt>
                <c:pt idx="548">
                  <c:v>327.5</c:v>
                </c:pt>
                <c:pt idx="549">
                  <c:v>330</c:v>
                </c:pt>
                <c:pt idx="550">
                  <c:v>335</c:v>
                </c:pt>
                <c:pt idx="551">
                  <c:v>330</c:v>
                </c:pt>
                <c:pt idx="552">
                  <c:v>327.5</c:v>
                </c:pt>
                <c:pt idx="553">
                  <c:v>325</c:v>
                </c:pt>
                <c:pt idx="554">
                  <c:v>323.5</c:v>
                </c:pt>
                <c:pt idx="555">
                  <c:v>320.5</c:v>
                </c:pt>
                <c:pt idx="556">
                  <c:v>316</c:v>
                </c:pt>
                <c:pt idx="557">
                  <c:v>315</c:v>
                </c:pt>
                <c:pt idx="558">
                  <c:v>315</c:v>
                </c:pt>
                <c:pt idx="559">
                  <c:v>300</c:v>
                </c:pt>
                <c:pt idx="560">
                  <c:v>275</c:v>
                </c:pt>
                <c:pt idx="561">
                  <c:v>257.5</c:v>
                </c:pt>
                <c:pt idx="562">
                  <c:v>255</c:v>
                </c:pt>
                <c:pt idx="563">
                  <c:v>255</c:v>
                </c:pt>
                <c:pt idx="564">
                  <c:v>275</c:v>
                </c:pt>
                <c:pt idx="565">
                  <c:v>295</c:v>
                </c:pt>
                <c:pt idx="566">
                  <c:v>302.5</c:v>
                </c:pt>
                <c:pt idx="567">
                  <c:v>295</c:v>
                </c:pt>
                <c:pt idx="568">
                  <c:v>302.5</c:v>
                </c:pt>
                <c:pt idx="569">
                  <c:v>305</c:v>
                </c:pt>
                <c:pt idx="570">
                  <c:v>295</c:v>
                </c:pt>
                <c:pt idx="571">
                  <c:v>295</c:v>
                </c:pt>
                <c:pt idx="572">
                  <c:v>295</c:v>
                </c:pt>
                <c:pt idx="573">
                  <c:v>295</c:v>
                </c:pt>
                <c:pt idx="574">
                  <c:v>302.5</c:v>
                </c:pt>
                <c:pt idx="575">
                  <c:v>307.5</c:v>
                </c:pt>
                <c:pt idx="576">
                  <c:v>310</c:v>
                </c:pt>
                <c:pt idx="577">
                  <c:v>325</c:v>
                </c:pt>
                <c:pt idx="578">
                  <c:v>329</c:v>
                </c:pt>
                <c:pt idx="579">
                  <c:v>336.5</c:v>
                </c:pt>
                <c:pt idx="580">
                  <c:v>345</c:v>
                </c:pt>
                <c:pt idx="581">
                  <c:v>350</c:v>
                </c:pt>
                <c:pt idx="582">
                  <c:v>357.5</c:v>
                </c:pt>
                <c:pt idx="583">
                  <c:v>345</c:v>
                </c:pt>
                <c:pt idx="584">
                  <c:v>335</c:v>
                </c:pt>
                <c:pt idx="585">
                  <c:v>330</c:v>
                </c:pt>
                <c:pt idx="586">
                  <c:v>315</c:v>
                </c:pt>
                <c:pt idx="587">
                  <c:v>292.5</c:v>
                </c:pt>
                <c:pt idx="588">
                  <c:v>267.5</c:v>
                </c:pt>
                <c:pt idx="589">
                  <c:v>252</c:v>
                </c:pt>
                <c:pt idx="590">
                  <c:v>250</c:v>
                </c:pt>
                <c:pt idx="591">
                  <c:v>275</c:v>
                </c:pt>
                <c:pt idx="592">
                  <c:v>272.5</c:v>
                </c:pt>
                <c:pt idx="593">
                  <c:v>262.5</c:v>
                </c:pt>
                <c:pt idx="594">
                  <c:v>262.5</c:v>
                </c:pt>
                <c:pt idx="595">
                  <c:v>265.5</c:v>
                </c:pt>
                <c:pt idx="596">
                  <c:v>262.5</c:v>
                </c:pt>
                <c:pt idx="597">
                  <c:v>260.5</c:v>
                </c:pt>
                <c:pt idx="598">
                  <c:v>264</c:v>
                </c:pt>
                <c:pt idx="599">
                  <c:v>264</c:v>
                </c:pt>
                <c:pt idx="600">
                  <c:v>265</c:v>
                </c:pt>
                <c:pt idx="601">
                  <c:v>280</c:v>
                </c:pt>
                <c:pt idx="602">
                  <c:v>310</c:v>
                </c:pt>
                <c:pt idx="603">
                  <c:v>310</c:v>
                </c:pt>
                <c:pt idx="604">
                  <c:v>310</c:v>
                </c:pt>
                <c:pt idx="605">
                  <c:v>305</c:v>
                </c:pt>
                <c:pt idx="606">
                  <c:v>315</c:v>
                </c:pt>
                <c:pt idx="607">
                  <c:v>305</c:v>
                </c:pt>
                <c:pt idx="608">
                  <c:v>290</c:v>
                </c:pt>
                <c:pt idx="609">
                  <c:v>285</c:v>
                </c:pt>
                <c:pt idx="610">
                  <c:v>285</c:v>
                </c:pt>
                <c:pt idx="611">
                  <c:v>297</c:v>
                </c:pt>
                <c:pt idx="612">
                  <c:v>300</c:v>
                </c:pt>
                <c:pt idx="613">
                  <c:v>307.5</c:v>
                </c:pt>
                <c:pt idx="614">
                  <c:v>307.5</c:v>
                </c:pt>
                <c:pt idx="615">
                  <c:v>307.5</c:v>
                </c:pt>
                <c:pt idx="616">
                  <c:v>307</c:v>
                </c:pt>
                <c:pt idx="617">
                  <c:v>310</c:v>
                </c:pt>
                <c:pt idx="618">
                  <c:v>311</c:v>
                </c:pt>
                <c:pt idx="619">
                  <c:v>314</c:v>
                </c:pt>
                <c:pt idx="620">
                  <c:v>320.5</c:v>
                </c:pt>
                <c:pt idx="621">
                  <c:v>342.5</c:v>
                </c:pt>
                <c:pt idx="622">
                  <c:v>357.5</c:v>
                </c:pt>
                <c:pt idx="623">
                  <c:v>357.5</c:v>
                </c:pt>
                <c:pt idx="624">
                  <c:v>355</c:v>
                </c:pt>
                <c:pt idx="625">
                  <c:v>350</c:v>
                </c:pt>
                <c:pt idx="626">
                  <c:v>345</c:v>
                </c:pt>
                <c:pt idx="627">
                  <c:v>342.5</c:v>
                </c:pt>
                <c:pt idx="628">
                  <c:v>342.5</c:v>
                </c:pt>
                <c:pt idx="629">
                  <c:v>342.5</c:v>
                </c:pt>
                <c:pt idx="630">
                  <c:v>310</c:v>
                </c:pt>
                <c:pt idx="631">
                  <c:v>297.5</c:v>
                </c:pt>
                <c:pt idx="632">
                  <c:v>292.5</c:v>
                </c:pt>
                <c:pt idx="633">
                  <c:v>267.5</c:v>
                </c:pt>
                <c:pt idx="634">
                  <c:v>262.5</c:v>
                </c:pt>
                <c:pt idx="635">
                  <c:v>257.5</c:v>
                </c:pt>
                <c:pt idx="636">
                  <c:v>252.5</c:v>
                </c:pt>
                <c:pt idx="637">
                  <c:v>252.5</c:v>
                </c:pt>
                <c:pt idx="638">
                  <c:v>250.5</c:v>
                </c:pt>
                <c:pt idx="639">
                  <c:v>242.5</c:v>
                </c:pt>
                <c:pt idx="640">
                  <c:v>252.5</c:v>
                </c:pt>
                <c:pt idx="641">
                  <c:v>256.5</c:v>
                </c:pt>
                <c:pt idx="642">
                  <c:v>256.5</c:v>
                </c:pt>
                <c:pt idx="643">
                  <c:v>265</c:v>
                </c:pt>
                <c:pt idx="644">
                  <c:v>267.5</c:v>
                </c:pt>
                <c:pt idx="645">
                  <c:v>267.5</c:v>
                </c:pt>
                <c:pt idx="646">
                  <c:v>272.5</c:v>
                </c:pt>
                <c:pt idx="647">
                  <c:v>267.5</c:v>
                </c:pt>
                <c:pt idx="648">
                  <c:v>262.5</c:v>
                </c:pt>
                <c:pt idx="649">
                  <c:v>252.5</c:v>
                </c:pt>
                <c:pt idx="650">
                  <c:v>257.5</c:v>
                </c:pt>
                <c:pt idx="651">
                  <c:v>255</c:v>
                </c:pt>
                <c:pt idx="652">
                  <c:v>255</c:v>
                </c:pt>
                <c:pt idx="653">
                  <c:v>262.5</c:v>
                </c:pt>
                <c:pt idx="654">
                  <c:v>261.5</c:v>
                </c:pt>
                <c:pt idx="655">
                  <c:v>270.5</c:v>
                </c:pt>
                <c:pt idx="656">
                  <c:v>271.5</c:v>
                </c:pt>
                <c:pt idx="657">
                  <c:v>272.5</c:v>
                </c:pt>
                <c:pt idx="658">
                  <c:v>269.5</c:v>
                </c:pt>
                <c:pt idx="659">
                  <c:v>272</c:v>
                </c:pt>
                <c:pt idx="660">
                  <c:v>273</c:v>
                </c:pt>
                <c:pt idx="661">
                  <c:v>276.5</c:v>
                </c:pt>
                <c:pt idx="662">
                  <c:v>277.5</c:v>
                </c:pt>
                <c:pt idx="663">
                  <c:v>277.5</c:v>
                </c:pt>
                <c:pt idx="664">
                  <c:v>280.5</c:v>
                </c:pt>
                <c:pt idx="665">
                  <c:v>281.5</c:v>
                </c:pt>
                <c:pt idx="666">
                  <c:v>282.5</c:v>
                </c:pt>
                <c:pt idx="667">
                  <c:v>282.5</c:v>
                </c:pt>
                <c:pt idx="668">
                  <c:v>282.5</c:v>
                </c:pt>
                <c:pt idx="669">
                  <c:v>295</c:v>
                </c:pt>
                <c:pt idx="670">
                  <c:v>307.5</c:v>
                </c:pt>
                <c:pt idx="671">
                  <c:v>310</c:v>
                </c:pt>
                <c:pt idx="672">
                  <c:v>317.5</c:v>
                </c:pt>
                <c:pt idx="673">
                  <c:v>317.5</c:v>
                </c:pt>
                <c:pt idx="674">
                  <c:v>317.5</c:v>
                </c:pt>
                <c:pt idx="675">
                  <c:v>317.5</c:v>
                </c:pt>
                <c:pt idx="676">
                  <c:v>317.5</c:v>
                </c:pt>
                <c:pt idx="677">
                  <c:v>317.5</c:v>
                </c:pt>
                <c:pt idx="678">
                  <c:v>302.5</c:v>
                </c:pt>
                <c:pt idx="679">
                  <c:v>279</c:v>
                </c:pt>
                <c:pt idx="680">
                  <c:v>277.5</c:v>
                </c:pt>
                <c:pt idx="681">
                  <c:v>270</c:v>
                </c:pt>
                <c:pt idx="682">
                  <c:v>267.5</c:v>
                </c:pt>
                <c:pt idx="683">
                  <c:v>262.5</c:v>
                </c:pt>
                <c:pt idx="684">
                  <c:v>262.5</c:v>
                </c:pt>
                <c:pt idx="685">
                  <c:v>253.5</c:v>
                </c:pt>
                <c:pt idx="686">
                  <c:v>252.5</c:v>
                </c:pt>
                <c:pt idx="687">
                  <c:v>252.5</c:v>
                </c:pt>
                <c:pt idx="688">
                  <c:v>252.5</c:v>
                </c:pt>
                <c:pt idx="689">
                  <c:v>250</c:v>
                </c:pt>
                <c:pt idx="690">
                  <c:v>252.5</c:v>
                </c:pt>
                <c:pt idx="691">
                  <c:v>252.5</c:v>
                </c:pt>
                <c:pt idx="692">
                  <c:v>260</c:v>
                </c:pt>
                <c:pt idx="693">
                  <c:v>261.5</c:v>
                </c:pt>
                <c:pt idx="694">
                  <c:v>261.5</c:v>
                </c:pt>
                <c:pt idx="695">
                  <c:v>261.5</c:v>
                </c:pt>
                <c:pt idx="696">
                  <c:v>261.5</c:v>
                </c:pt>
                <c:pt idx="697">
                  <c:v>261.5</c:v>
                </c:pt>
                <c:pt idx="698">
                  <c:v>270</c:v>
                </c:pt>
                <c:pt idx="699">
                  <c:v>270</c:v>
                </c:pt>
                <c:pt idx="700">
                  <c:v>270</c:v>
                </c:pt>
                <c:pt idx="701">
                  <c:v>274.5</c:v>
                </c:pt>
                <c:pt idx="702">
                  <c:v>283</c:v>
                </c:pt>
                <c:pt idx="703">
                  <c:v>284</c:v>
                </c:pt>
                <c:pt idx="704">
                  <c:v>284</c:v>
                </c:pt>
                <c:pt idx="705">
                  <c:v>285</c:v>
                </c:pt>
                <c:pt idx="706">
                  <c:v>280</c:v>
                </c:pt>
                <c:pt idx="707">
                  <c:v>280</c:v>
                </c:pt>
                <c:pt idx="708">
                  <c:v>280</c:v>
                </c:pt>
                <c:pt idx="709">
                  <c:v>277.5</c:v>
                </c:pt>
                <c:pt idx="710">
                  <c:v>278.5</c:v>
                </c:pt>
                <c:pt idx="711">
                  <c:v>277</c:v>
                </c:pt>
                <c:pt idx="712">
                  <c:v>277</c:v>
                </c:pt>
                <c:pt idx="713">
                  <c:v>278</c:v>
                </c:pt>
                <c:pt idx="714">
                  <c:v>277.5</c:v>
                </c:pt>
                <c:pt idx="715">
                  <c:v>277.5</c:v>
                </c:pt>
                <c:pt idx="716">
                  <c:v>281.5</c:v>
                </c:pt>
                <c:pt idx="717">
                  <c:v>284.5</c:v>
                </c:pt>
                <c:pt idx="718">
                  <c:v>284.5</c:v>
                </c:pt>
                <c:pt idx="719">
                  <c:v>284.5</c:v>
                </c:pt>
                <c:pt idx="720">
                  <c:v>282.5</c:v>
                </c:pt>
                <c:pt idx="721">
                  <c:v>284.5</c:v>
                </c:pt>
                <c:pt idx="722">
                  <c:v>285.5</c:v>
                </c:pt>
                <c:pt idx="723">
                  <c:v>282.5</c:v>
                </c:pt>
                <c:pt idx="724">
                  <c:v>282.5</c:v>
                </c:pt>
                <c:pt idx="725">
                  <c:v>282</c:v>
                </c:pt>
                <c:pt idx="726">
                  <c:v>280</c:v>
                </c:pt>
                <c:pt idx="727">
                  <c:v>272.5</c:v>
                </c:pt>
                <c:pt idx="728">
                  <c:v>272.5</c:v>
                </c:pt>
                <c:pt idx="729">
                  <c:v>260</c:v>
                </c:pt>
                <c:pt idx="730">
                  <c:v>252.5</c:v>
                </c:pt>
                <c:pt idx="731">
                  <c:v>250.5</c:v>
                </c:pt>
                <c:pt idx="732">
                  <c:v>250.5</c:v>
                </c:pt>
                <c:pt idx="733">
                  <c:v>233</c:v>
                </c:pt>
                <c:pt idx="734">
                  <c:v>220</c:v>
                </c:pt>
                <c:pt idx="735">
                  <c:v>215.5</c:v>
                </c:pt>
                <c:pt idx="736">
                  <c:v>202.5</c:v>
                </c:pt>
                <c:pt idx="737">
                  <c:v>202.5</c:v>
                </c:pt>
                <c:pt idx="738">
                  <c:v>205</c:v>
                </c:pt>
                <c:pt idx="739">
                  <c:v>207.5</c:v>
                </c:pt>
                <c:pt idx="740">
                  <c:v>206.5</c:v>
                </c:pt>
                <c:pt idx="741">
                  <c:v>205.5</c:v>
                </c:pt>
                <c:pt idx="742">
                  <c:v>205.5</c:v>
                </c:pt>
                <c:pt idx="743">
                  <c:v>209</c:v>
                </c:pt>
                <c:pt idx="744">
                  <c:v>202.5</c:v>
                </c:pt>
                <c:pt idx="745">
                  <c:v>202.5</c:v>
                </c:pt>
                <c:pt idx="746">
                  <c:v>197.5</c:v>
                </c:pt>
                <c:pt idx="747">
                  <c:v>192.5</c:v>
                </c:pt>
                <c:pt idx="748">
                  <c:v>189.5</c:v>
                </c:pt>
                <c:pt idx="749">
                  <c:v>185.5</c:v>
                </c:pt>
                <c:pt idx="750">
                  <c:v>188</c:v>
                </c:pt>
                <c:pt idx="751">
                  <c:v>190</c:v>
                </c:pt>
                <c:pt idx="752">
                  <c:v>197.5</c:v>
                </c:pt>
                <c:pt idx="753">
                  <c:v>202</c:v>
                </c:pt>
                <c:pt idx="754">
                  <c:v>195.5</c:v>
                </c:pt>
                <c:pt idx="755">
                  <c:v>194.5</c:v>
                </c:pt>
                <c:pt idx="756">
                  <c:v>192.5</c:v>
                </c:pt>
                <c:pt idx="757">
                  <c:v>190.5</c:v>
                </c:pt>
                <c:pt idx="758">
                  <c:v>187.5</c:v>
                </c:pt>
                <c:pt idx="759">
                  <c:v>183.5</c:v>
                </c:pt>
                <c:pt idx="760">
                  <c:v>190</c:v>
                </c:pt>
                <c:pt idx="761">
                  <c:v>194.5</c:v>
                </c:pt>
                <c:pt idx="762">
                  <c:v>203.5</c:v>
                </c:pt>
                <c:pt idx="763">
                  <c:v>210</c:v>
                </c:pt>
                <c:pt idx="764">
                  <c:v>205</c:v>
                </c:pt>
                <c:pt idx="765">
                  <c:v>200</c:v>
                </c:pt>
                <c:pt idx="766">
                  <c:v>200</c:v>
                </c:pt>
                <c:pt idx="767">
                  <c:v>197.5</c:v>
                </c:pt>
                <c:pt idx="768">
                  <c:v>198</c:v>
                </c:pt>
                <c:pt idx="769">
                  <c:v>201.5</c:v>
                </c:pt>
                <c:pt idx="770">
                  <c:v>200.5</c:v>
                </c:pt>
                <c:pt idx="771">
                  <c:v>200.5</c:v>
                </c:pt>
                <c:pt idx="772">
                  <c:v>197.5</c:v>
                </c:pt>
                <c:pt idx="773">
                  <c:v>195</c:v>
                </c:pt>
                <c:pt idx="774">
                  <c:v>190</c:v>
                </c:pt>
                <c:pt idx="775">
                  <c:v>185</c:v>
                </c:pt>
                <c:pt idx="776">
                  <c:v>182.5</c:v>
                </c:pt>
                <c:pt idx="777">
                  <c:v>177.5</c:v>
                </c:pt>
                <c:pt idx="778">
                  <c:v>180</c:v>
                </c:pt>
                <c:pt idx="779">
                  <c:v>180</c:v>
                </c:pt>
                <c:pt idx="780">
                  <c:v>180</c:v>
                </c:pt>
                <c:pt idx="781">
                  <c:v>177.5</c:v>
                </c:pt>
                <c:pt idx="782">
                  <c:v>172.5</c:v>
                </c:pt>
                <c:pt idx="783">
                  <c:v>172.5</c:v>
                </c:pt>
                <c:pt idx="784">
                  <c:v>172.5</c:v>
                </c:pt>
                <c:pt idx="785">
                  <c:v>172.5</c:v>
                </c:pt>
                <c:pt idx="786">
                  <c:v>172.5</c:v>
                </c:pt>
                <c:pt idx="787">
                  <c:v>166</c:v>
                </c:pt>
                <c:pt idx="788">
                  <c:v>162.5</c:v>
                </c:pt>
                <c:pt idx="789">
                  <c:v>152.5</c:v>
                </c:pt>
                <c:pt idx="790">
                  <c:v>150.5</c:v>
                </c:pt>
                <c:pt idx="791">
                  <c:v>147.5</c:v>
                </c:pt>
                <c:pt idx="792">
                  <c:v>147.5</c:v>
                </c:pt>
                <c:pt idx="793">
                  <c:v>147.5</c:v>
                </c:pt>
                <c:pt idx="794">
                  <c:v>140.5</c:v>
                </c:pt>
                <c:pt idx="795">
                  <c:v>139.5</c:v>
                </c:pt>
                <c:pt idx="796">
                  <c:v>138.5</c:v>
                </c:pt>
                <c:pt idx="797">
                  <c:v>134.5</c:v>
                </c:pt>
                <c:pt idx="798">
                  <c:v>134.5</c:v>
                </c:pt>
                <c:pt idx="799">
                  <c:v>134.5</c:v>
                </c:pt>
                <c:pt idx="800">
                  <c:v>134.5</c:v>
                </c:pt>
                <c:pt idx="801">
                  <c:v>134.5</c:v>
                </c:pt>
                <c:pt idx="802">
                  <c:v>133.5</c:v>
                </c:pt>
                <c:pt idx="803">
                  <c:v>137.5</c:v>
                </c:pt>
                <c:pt idx="804">
                  <c:v>137.5</c:v>
                </c:pt>
                <c:pt idx="805">
                  <c:v>142.5</c:v>
                </c:pt>
                <c:pt idx="806">
                  <c:v>145.5</c:v>
                </c:pt>
                <c:pt idx="807">
                  <c:v>145.5</c:v>
                </c:pt>
                <c:pt idx="808">
                  <c:v>152</c:v>
                </c:pt>
                <c:pt idx="809">
                  <c:v>152.5</c:v>
                </c:pt>
                <c:pt idx="810">
                  <c:v>155</c:v>
                </c:pt>
                <c:pt idx="811">
                  <c:v>155</c:v>
                </c:pt>
                <c:pt idx="812">
                  <c:v>159.5</c:v>
                </c:pt>
                <c:pt idx="813">
                  <c:v>170.5</c:v>
                </c:pt>
                <c:pt idx="814">
                  <c:v>175.5</c:v>
                </c:pt>
                <c:pt idx="815">
                  <c:v>175.5</c:v>
                </c:pt>
                <c:pt idx="816">
                  <c:v>187.5</c:v>
                </c:pt>
                <c:pt idx="817">
                  <c:v>187.5</c:v>
                </c:pt>
                <c:pt idx="818">
                  <c:v>187.5</c:v>
                </c:pt>
                <c:pt idx="819">
                  <c:v>177.5</c:v>
                </c:pt>
                <c:pt idx="820">
                  <c:v>180.5</c:v>
                </c:pt>
                <c:pt idx="821">
                  <c:v>180.5</c:v>
                </c:pt>
                <c:pt idx="822">
                  <c:v>182.5</c:v>
                </c:pt>
                <c:pt idx="823">
                  <c:v>182.5</c:v>
                </c:pt>
                <c:pt idx="824">
                  <c:v>190</c:v>
                </c:pt>
                <c:pt idx="825">
                  <c:v>192.5</c:v>
                </c:pt>
                <c:pt idx="826">
                  <c:v>200.5</c:v>
                </c:pt>
                <c:pt idx="827">
                  <c:v>202.5</c:v>
                </c:pt>
                <c:pt idx="828">
                  <c:v>202.5</c:v>
                </c:pt>
                <c:pt idx="829">
                  <c:v>202.5</c:v>
                </c:pt>
                <c:pt idx="830">
                  <c:v>197.5</c:v>
                </c:pt>
                <c:pt idx="831">
                  <c:v>195.5</c:v>
                </c:pt>
                <c:pt idx="832">
                  <c:v>194</c:v>
                </c:pt>
                <c:pt idx="833">
                  <c:v>192.5</c:v>
                </c:pt>
                <c:pt idx="834">
                  <c:v>192.5</c:v>
                </c:pt>
                <c:pt idx="835">
                  <c:v>192.5</c:v>
                </c:pt>
                <c:pt idx="836">
                  <c:v>182.5</c:v>
                </c:pt>
                <c:pt idx="837">
                  <c:v>177</c:v>
                </c:pt>
                <c:pt idx="838">
                  <c:v>177</c:v>
                </c:pt>
                <c:pt idx="839">
                  <c:v>177</c:v>
                </c:pt>
                <c:pt idx="840">
                  <c:v>165.5</c:v>
                </c:pt>
                <c:pt idx="841">
                  <c:v>162.5</c:v>
                </c:pt>
                <c:pt idx="842">
                  <c:v>163</c:v>
                </c:pt>
                <c:pt idx="843">
                  <c:v>163</c:v>
                </c:pt>
                <c:pt idx="844">
                  <c:v>157.5</c:v>
                </c:pt>
                <c:pt idx="845">
                  <c:v>155.5</c:v>
                </c:pt>
              </c:numCache>
            </c:numRef>
          </c:yVal>
          <c:smooth val="0"/>
        </c:ser>
        <c:dLbls>
          <c:showLegendKey val="0"/>
          <c:showVal val="0"/>
          <c:showCatName val="0"/>
          <c:showSerName val="0"/>
          <c:showPercent val="0"/>
          <c:showBubbleSize val="0"/>
        </c:dLbls>
        <c:axId val="536179808"/>
        <c:axId val="536180200"/>
      </c:scatterChart>
      <c:valAx>
        <c:axId val="536179808"/>
        <c:scaling>
          <c:orientation val="minMax"/>
          <c:min val="200"/>
        </c:scaling>
        <c:delete val="0"/>
        <c:axPos val="b"/>
        <c:numFmt formatCode="_-* #\ ##0_-;\-* #\ ##0_-;_-* &quot;-&quot;??_-;_-@_-" sourceLinked="1"/>
        <c:majorTickMark val="out"/>
        <c:minorTickMark val="none"/>
        <c:tickLblPos val="nextTo"/>
        <c:crossAx val="536180200"/>
        <c:crosses val="autoZero"/>
        <c:crossBetween val="midCat"/>
      </c:valAx>
      <c:valAx>
        <c:axId val="536180200"/>
        <c:scaling>
          <c:orientation val="minMax"/>
          <c:min val="100"/>
        </c:scaling>
        <c:delete val="0"/>
        <c:axPos val="l"/>
        <c:numFmt formatCode="_-* #\ ##0_-;\-* #\ ##0_-;_-* &quot;-&quot;??_-;_-@_-" sourceLinked="1"/>
        <c:majorTickMark val="out"/>
        <c:minorTickMark val="none"/>
        <c:tickLblPos val="nextTo"/>
        <c:crossAx val="536179808"/>
        <c:crosses val="autoZero"/>
        <c:crossBetween val="midCat"/>
      </c:valAx>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5397692425352565E-2"/>
          <c:y val="0.15318338865270284"/>
          <c:w val="0.857429823806098"/>
          <c:h val="0.75561604583705655"/>
        </c:manualLayout>
      </c:layout>
      <c:scatterChart>
        <c:scatterStyle val="lineMarker"/>
        <c:varyColors val="0"/>
        <c:ser>
          <c:idx val="0"/>
          <c:order val="0"/>
          <c:tx>
            <c:strRef>
              <c:f>'model (2)'!$E$186</c:f>
              <c:strCache>
                <c:ptCount val="1"/>
                <c:pt idx="0">
                  <c:v>UAN FOB Black Sea 32%</c:v>
                </c:pt>
              </c:strCache>
            </c:strRef>
          </c:tx>
          <c:spPr>
            <a:ln w="28575">
              <a:noFill/>
            </a:ln>
          </c:spPr>
          <c:trendline>
            <c:trendlineType val="log"/>
            <c:dispRSqr val="1"/>
            <c:dispEq val="1"/>
            <c:trendlineLbl>
              <c:layout>
                <c:manualLayout>
                  <c:x val="-5.0516335815990829E-3"/>
                  <c:y val="0.3587134527398495"/>
                </c:manualLayout>
              </c:layout>
              <c:numFmt formatCode="General" sourceLinked="0"/>
            </c:trendlineLbl>
          </c:trendline>
          <c:xVal>
            <c:numRef>
              <c:f>'model (2)'!$C$472:$C$1023</c:f>
              <c:numCache>
                <c:formatCode>_-* #\ ##0_-;\-* #\ ##0_-;_-* "-"??_-;_-@_-</c:formatCode>
                <c:ptCount val="552"/>
                <c:pt idx="0">
                  <c:v>199</c:v>
                </c:pt>
                <c:pt idx="1">
                  <c:v>195.5</c:v>
                </c:pt>
                <c:pt idx="2">
                  <c:v>189</c:v>
                </c:pt>
                <c:pt idx="3">
                  <c:v>196.5</c:v>
                </c:pt>
                <c:pt idx="4">
                  <c:v>205</c:v>
                </c:pt>
                <c:pt idx="5">
                  <c:v>211</c:v>
                </c:pt>
                <c:pt idx="6">
                  <c:v>207.5</c:v>
                </c:pt>
                <c:pt idx="7">
                  <c:v>215</c:v>
                </c:pt>
                <c:pt idx="8">
                  <c:v>227.5</c:v>
                </c:pt>
                <c:pt idx="9">
                  <c:v>232.5</c:v>
                </c:pt>
                <c:pt idx="10">
                  <c:v>245</c:v>
                </c:pt>
                <c:pt idx="11">
                  <c:v>245</c:v>
                </c:pt>
                <c:pt idx="12">
                  <c:v>240</c:v>
                </c:pt>
                <c:pt idx="13">
                  <c:v>245</c:v>
                </c:pt>
                <c:pt idx="14">
                  <c:v>240</c:v>
                </c:pt>
                <c:pt idx="15">
                  <c:v>240</c:v>
                </c:pt>
                <c:pt idx="16">
                  <c:v>239.5</c:v>
                </c:pt>
                <c:pt idx="17">
                  <c:v>235</c:v>
                </c:pt>
                <c:pt idx="18">
                  <c:v>230</c:v>
                </c:pt>
                <c:pt idx="19">
                  <c:v>222.5</c:v>
                </c:pt>
                <c:pt idx="20">
                  <c:v>212</c:v>
                </c:pt>
                <c:pt idx="21">
                  <c:v>212</c:v>
                </c:pt>
                <c:pt idx="22">
                  <c:v>197.5</c:v>
                </c:pt>
                <c:pt idx="23">
                  <c:v>198</c:v>
                </c:pt>
                <c:pt idx="24">
                  <c:v>201</c:v>
                </c:pt>
                <c:pt idx="25">
                  <c:v>201</c:v>
                </c:pt>
                <c:pt idx="26">
                  <c:v>200</c:v>
                </c:pt>
                <c:pt idx="27">
                  <c:v>200</c:v>
                </c:pt>
                <c:pt idx="28">
                  <c:v>195</c:v>
                </c:pt>
                <c:pt idx="29">
                  <c:v>205</c:v>
                </c:pt>
                <c:pt idx="30">
                  <c:v>208</c:v>
                </c:pt>
                <c:pt idx="31">
                  <c:v>211.5</c:v>
                </c:pt>
                <c:pt idx="32">
                  <c:v>214</c:v>
                </c:pt>
                <c:pt idx="33">
                  <c:v>211.5</c:v>
                </c:pt>
                <c:pt idx="34">
                  <c:v>207.5</c:v>
                </c:pt>
                <c:pt idx="35">
                  <c:v>205</c:v>
                </c:pt>
                <c:pt idx="36">
                  <c:v>208.5</c:v>
                </c:pt>
                <c:pt idx="37">
                  <c:v>204</c:v>
                </c:pt>
                <c:pt idx="38">
                  <c:v>196</c:v>
                </c:pt>
                <c:pt idx="39">
                  <c:v>202.5</c:v>
                </c:pt>
                <c:pt idx="40">
                  <c:v>206</c:v>
                </c:pt>
                <c:pt idx="41">
                  <c:v>207</c:v>
                </c:pt>
                <c:pt idx="42">
                  <c:v>209</c:v>
                </c:pt>
                <c:pt idx="43">
                  <c:v>217.5</c:v>
                </c:pt>
                <c:pt idx="44">
                  <c:v>227.5</c:v>
                </c:pt>
                <c:pt idx="45">
                  <c:v>240</c:v>
                </c:pt>
                <c:pt idx="46">
                  <c:v>245</c:v>
                </c:pt>
                <c:pt idx="47">
                  <c:v>247.5</c:v>
                </c:pt>
                <c:pt idx="48">
                  <c:v>246</c:v>
                </c:pt>
                <c:pt idx="49">
                  <c:v>250</c:v>
                </c:pt>
                <c:pt idx="50">
                  <c:v>250.5</c:v>
                </c:pt>
                <c:pt idx="51">
                  <c:v>252</c:v>
                </c:pt>
                <c:pt idx="52">
                  <c:v>266</c:v>
                </c:pt>
                <c:pt idx="53">
                  <c:v>272</c:v>
                </c:pt>
                <c:pt idx="54">
                  <c:v>275</c:v>
                </c:pt>
                <c:pt idx="55">
                  <c:v>281.5</c:v>
                </c:pt>
                <c:pt idx="56">
                  <c:v>292.5</c:v>
                </c:pt>
                <c:pt idx="57">
                  <c:v>301</c:v>
                </c:pt>
                <c:pt idx="58">
                  <c:v>307</c:v>
                </c:pt>
                <c:pt idx="59">
                  <c:v>310</c:v>
                </c:pt>
                <c:pt idx="60">
                  <c:v>311.5</c:v>
                </c:pt>
                <c:pt idx="61">
                  <c:v>307.5</c:v>
                </c:pt>
                <c:pt idx="62">
                  <c:v>297.5</c:v>
                </c:pt>
                <c:pt idx="63">
                  <c:v>292.5</c:v>
                </c:pt>
                <c:pt idx="64">
                  <c:v>280</c:v>
                </c:pt>
                <c:pt idx="65">
                  <c:v>280.5</c:v>
                </c:pt>
                <c:pt idx="66">
                  <c:v>286</c:v>
                </c:pt>
                <c:pt idx="67">
                  <c:v>296</c:v>
                </c:pt>
                <c:pt idx="68">
                  <c:v>287.5</c:v>
                </c:pt>
                <c:pt idx="69">
                  <c:v>289</c:v>
                </c:pt>
                <c:pt idx="70">
                  <c:v>283.5</c:v>
                </c:pt>
                <c:pt idx="71">
                  <c:v>285</c:v>
                </c:pt>
                <c:pt idx="72">
                  <c:v>282.5</c:v>
                </c:pt>
                <c:pt idx="73">
                  <c:v>272.5</c:v>
                </c:pt>
                <c:pt idx="74">
                  <c:v>271.5</c:v>
                </c:pt>
                <c:pt idx="75">
                  <c:v>271.5</c:v>
                </c:pt>
                <c:pt idx="76">
                  <c:v>268</c:v>
                </c:pt>
                <c:pt idx="77">
                  <c:v>263</c:v>
                </c:pt>
                <c:pt idx="78">
                  <c:v>257</c:v>
                </c:pt>
                <c:pt idx="79">
                  <c:v>252</c:v>
                </c:pt>
                <c:pt idx="80">
                  <c:v>245.5</c:v>
                </c:pt>
                <c:pt idx="81">
                  <c:v>252.5</c:v>
                </c:pt>
                <c:pt idx="82">
                  <c:v>276.5</c:v>
                </c:pt>
                <c:pt idx="83">
                  <c:v>297.5</c:v>
                </c:pt>
                <c:pt idx="84">
                  <c:v>302.5</c:v>
                </c:pt>
                <c:pt idx="85">
                  <c:v>306.5</c:v>
                </c:pt>
                <c:pt idx="86">
                  <c:v>305.5</c:v>
                </c:pt>
                <c:pt idx="87">
                  <c:v>313.5</c:v>
                </c:pt>
                <c:pt idx="88">
                  <c:v>318.5</c:v>
                </c:pt>
                <c:pt idx="89">
                  <c:v>324.5</c:v>
                </c:pt>
                <c:pt idx="90">
                  <c:v>328.5</c:v>
                </c:pt>
                <c:pt idx="91">
                  <c:v>327.5</c:v>
                </c:pt>
                <c:pt idx="92">
                  <c:v>346.5</c:v>
                </c:pt>
                <c:pt idx="93">
                  <c:v>352.5</c:v>
                </c:pt>
                <c:pt idx="94">
                  <c:v>360</c:v>
                </c:pt>
                <c:pt idx="95">
                  <c:v>385</c:v>
                </c:pt>
                <c:pt idx="96">
                  <c:v>390</c:v>
                </c:pt>
                <c:pt idx="97">
                  <c:v>391</c:v>
                </c:pt>
                <c:pt idx="98">
                  <c:v>384</c:v>
                </c:pt>
                <c:pt idx="99">
                  <c:v>380</c:v>
                </c:pt>
                <c:pt idx="100">
                  <c:v>377.5</c:v>
                </c:pt>
                <c:pt idx="101">
                  <c:v>377.5</c:v>
                </c:pt>
                <c:pt idx="102">
                  <c:v>370</c:v>
                </c:pt>
                <c:pt idx="103">
                  <c:v>360</c:v>
                </c:pt>
                <c:pt idx="104">
                  <c:v>340</c:v>
                </c:pt>
                <c:pt idx="105">
                  <c:v>322.5</c:v>
                </c:pt>
                <c:pt idx="106">
                  <c:v>327.5</c:v>
                </c:pt>
                <c:pt idx="107">
                  <c:v>324</c:v>
                </c:pt>
                <c:pt idx="108">
                  <c:v>315</c:v>
                </c:pt>
                <c:pt idx="109">
                  <c:v>330</c:v>
                </c:pt>
                <c:pt idx="110">
                  <c:v>365</c:v>
                </c:pt>
                <c:pt idx="111">
                  <c:v>392.5</c:v>
                </c:pt>
                <c:pt idx="112">
                  <c:v>382</c:v>
                </c:pt>
                <c:pt idx="113">
                  <c:v>385</c:v>
                </c:pt>
                <c:pt idx="114">
                  <c:v>407.5</c:v>
                </c:pt>
                <c:pt idx="115">
                  <c:v>477.5</c:v>
                </c:pt>
                <c:pt idx="116">
                  <c:v>530</c:v>
                </c:pt>
                <c:pt idx="117">
                  <c:v>330</c:v>
                </c:pt>
                <c:pt idx="118">
                  <c:v>280</c:v>
                </c:pt>
                <c:pt idx="119">
                  <c:v>282.5</c:v>
                </c:pt>
                <c:pt idx="120">
                  <c:v>245</c:v>
                </c:pt>
                <c:pt idx="121">
                  <c:v>250</c:v>
                </c:pt>
                <c:pt idx="122">
                  <c:v>238.5</c:v>
                </c:pt>
                <c:pt idx="123">
                  <c:v>240</c:v>
                </c:pt>
                <c:pt idx="124">
                  <c:v>236.5</c:v>
                </c:pt>
                <c:pt idx="125">
                  <c:v>230.5</c:v>
                </c:pt>
                <c:pt idx="126">
                  <c:v>226</c:v>
                </c:pt>
                <c:pt idx="127">
                  <c:v>215</c:v>
                </c:pt>
                <c:pt idx="128">
                  <c:v>220</c:v>
                </c:pt>
                <c:pt idx="129">
                  <c:v>272.5</c:v>
                </c:pt>
                <c:pt idx="130">
                  <c:v>280</c:v>
                </c:pt>
                <c:pt idx="131">
                  <c:v>260</c:v>
                </c:pt>
                <c:pt idx="132">
                  <c:v>263</c:v>
                </c:pt>
                <c:pt idx="133">
                  <c:v>272.5</c:v>
                </c:pt>
                <c:pt idx="134">
                  <c:v>275</c:v>
                </c:pt>
                <c:pt idx="135">
                  <c:v>278</c:v>
                </c:pt>
                <c:pt idx="136">
                  <c:v>275</c:v>
                </c:pt>
                <c:pt idx="137">
                  <c:v>272.5</c:v>
                </c:pt>
                <c:pt idx="138">
                  <c:v>257.5</c:v>
                </c:pt>
                <c:pt idx="139">
                  <c:v>248.5</c:v>
                </c:pt>
                <c:pt idx="140">
                  <c:v>248</c:v>
                </c:pt>
                <c:pt idx="141">
                  <c:v>245.5</c:v>
                </c:pt>
                <c:pt idx="142">
                  <c:v>238</c:v>
                </c:pt>
                <c:pt idx="143">
                  <c:v>236</c:v>
                </c:pt>
                <c:pt idx="144">
                  <c:v>241</c:v>
                </c:pt>
                <c:pt idx="145">
                  <c:v>242</c:v>
                </c:pt>
                <c:pt idx="146">
                  <c:v>242</c:v>
                </c:pt>
                <c:pt idx="147">
                  <c:v>232.5</c:v>
                </c:pt>
                <c:pt idx="148">
                  <c:v>233.5</c:v>
                </c:pt>
                <c:pt idx="149">
                  <c:v>236</c:v>
                </c:pt>
                <c:pt idx="150">
                  <c:v>234</c:v>
                </c:pt>
                <c:pt idx="151">
                  <c:v>234</c:v>
                </c:pt>
                <c:pt idx="152">
                  <c:v>236</c:v>
                </c:pt>
                <c:pt idx="153">
                  <c:v>236</c:v>
                </c:pt>
                <c:pt idx="154">
                  <c:v>238</c:v>
                </c:pt>
                <c:pt idx="155">
                  <c:v>242.5</c:v>
                </c:pt>
                <c:pt idx="156">
                  <c:v>253.5</c:v>
                </c:pt>
                <c:pt idx="157">
                  <c:v>252.5</c:v>
                </c:pt>
                <c:pt idx="158">
                  <c:v>251.5</c:v>
                </c:pt>
                <c:pt idx="159">
                  <c:v>245.5</c:v>
                </c:pt>
                <c:pt idx="160">
                  <c:v>245.5</c:v>
                </c:pt>
                <c:pt idx="161">
                  <c:v>232.5</c:v>
                </c:pt>
                <c:pt idx="162">
                  <c:v>235</c:v>
                </c:pt>
                <c:pt idx="163">
                  <c:v>234</c:v>
                </c:pt>
                <c:pt idx="164">
                  <c:v>233.5</c:v>
                </c:pt>
                <c:pt idx="165">
                  <c:v>229</c:v>
                </c:pt>
                <c:pt idx="166">
                  <c:v>233</c:v>
                </c:pt>
                <c:pt idx="167">
                  <c:v>233</c:v>
                </c:pt>
                <c:pt idx="168">
                  <c:v>232</c:v>
                </c:pt>
                <c:pt idx="169">
                  <c:v>231.5</c:v>
                </c:pt>
                <c:pt idx="170">
                  <c:v>230.5</c:v>
                </c:pt>
                <c:pt idx="171">
                  <c:v>229</c:v>
                </c:pt>
                <c:pt idx="172">
                  <c:v>231</c:v>
                </c:pt>
                <c:pt idx="173">
                  <c:v>241.5</c:v>
                </c:pt>
                <c:pt idx="174">
                  <c:v>252.5</c:v>
                </c:pt>
                <c:pt idx="175">
                  <c:v>252.5</c:v>
                </c:pt>
                <c:pt idx="176">
                  <c:v>250</c:v>
                </c:pt>
                <c:pt idx="177">
                  <c:v>252.5</c:v>
                </c:pt>
                <c:pt idx="178">
                  <c:v>258.5</c:v>
                </c:pt>
                <c:pt idx="179">
                  <c:v>260</c:v>
                </c:pt>
                <c:pt idx="180">
                  <c:v>272</c:v>
                </c:pt>
                <c:pt idx="181">
                  <c:v>279</c:v>
                </c:pt>
                <c:pt idx="182">
                  <c:v>287</c:v>
                </c:pt>
                <c:pt idx="183">
                  <c:v>287</c:v>
                </c:pt>
                <c:pt idx="184">
                  <c:v>280</c:v>
                </c:pt>
                <c:pt idx="185">
                  <c:v>274</c:v>
                </c:pt>
                <c:pt idx="186">
                  <c:v>271</c:v>
                </c:pt>
                <c:pt idx="187">
                  <c:v>273.5</c:v>
                </c:pt>
                <c:pt idx="188">
                  <c:v>273.5</c:v>
                </c:pt>
                <c:pt idx="189">
                  <c:v>268.5</c:v>
                </c:pt>
                <c:pt idx="190">
                  <c:v>261.5</c:v>
                </c:pt>
                <c:pt idx="191">
                  <c:v>251.5</c:v>
                </c:pt>
                <c:pt idx="192">
                  <c:v>244</c:v>
                </c:pt>
                <c:pt idx="193">
                  <c:v>242.5</c:v>
                </c:pt>
                <c:pt idx="194">
                  <c:v>235.5</c:v>
                </c:pt>
                <c:pt idx="195">
                  <c:v>232</c:v>
                </c:pt>
                <c:pt idx="196">
                  <c:v>231.5</c:v>
                </c:pt>
                <c:pt idx="197">
                  <c:v>222.5</c:v>
                </c:pt>
                <c:pt idx="198">
                  <c:v>218.5</c:v>
                </c:pt>
                <c:pt idx="199">
                  <c:v>219.5</c:v>
                </c:pt>
                <c:pt idx="200">
                  <c:v>224</c:v>
                </c:pt>
                <c:pt idx="201">
                  <c:v>233.5</c:v>
                </c:pt>
                <c:pt idx="202">
                  <c:v>234.5</c:v>
                </c:pt>
                <c:pt idx="203">
                  <c:v>241</c:v>
                </c:pt>
                <c:pt idx="204">
                  <c:v>247</c:v>
                </c:pt>
                <c:pt idx="205">
                  <c:v>244.5</c:v>
                </c:pt>
                <c:pt idx="206">
                  <c:v>242.5</c:v>
                </c:pt>
                <c:pt idx="207">
                  <c:v>248</c:v>
                </c:pt>
                <c:pt idx="208">
                  <c:v>265</c:v>
                </c:pt>
                <c:pt idx="209">
                  <c:v>280</c:v>
                </c:pt>
                <c:pt idx="210">
                  <c:v>273.5</c:v>
                </c:pt>
                <c:pt idx="211">
                  <c:v>273.5</c:v>
                </c:pt>
                <c:pt idx="212">
                  <c:v>289.5</c:v>
                </c:pt>
                <c:pt idx="213">
                  <c:v>315</c:v>
                </c:pt>
                <c:pt idx="214">
                  <c:v>337.5</c:v>
                </c:pt>
                <c:pt idx="215">
                  <c:v>327.5</c:v>
                </c:pt>
                <c:pt idx="216">
                  <c:v>328.5</c:v>
                </c:pt>
                <c:pt idx="217">
                  <c:v>324</c:v>
                </c:pt>
                <c:pt idx="218">
                  <c:v>323.5</c:v>
                </c:pt>
                <c:pt idx="219">
                  <c:v>336.5</c:v>
                </c:pt>
                <c:pt idx="220">
                  <c:v>338</c:v>
                </c:pt>
                <c:pt idx="221">
                  <c:v>347.5</c:v>
                </c:pt>
                <c:pt idx="222">
                  <c:v>363</c:v>
                </c:pt>
                <c:pt idx="223">
                  <c:v>372.5</c:v>
                </c:pt>
                <c:pt idx="224">
                  <c:v>368</c:v>
                </c:pt>
                <c:pt idx="225">
                  <c:v>362.5</c:v>
                </c:pt>
                <c:pt idx="226">
                  <c:v>357.5</c:v>
                </c:pt>
                <c:pt idx="227">
                  <c:v>362.5</c:v>
                </c:pt>
                <c:pt idx="228">
                  <c:v>363.5</c:v>
                </c:pt>
                <c:pt idx="229">
                  <c:v>360</c:v>
                </c:pt>
                <c:pt idx="230">
                  <c:v>366</c:v>
                </c:pt>
                <c:pt idx="231">
                  <c:v>363.5</c:v>
                </c:pt>
                <c:pt idx="232">
                  <c:v>359</c:v>
                </c:pt>
                <c:pt idx="233">
                  <c:v>359</c:v>
                </c:pt>
                <c:pt idx="234">
                  <c:v>358</c:v>
                </c:pt>
                <c:pt idx="235">
                  <c:v>351</c:v>
                </c:pt>
                <c:pt idx="236">
                  <c:v>335</c:v>
                </c:pt>
                <c:pt idx="237">
                  <c:v>325</c:v>
                </c:pt>
                <c:pt idx="238">
                  <c:v>312.5</c:v>
                </c:pt>
                <c:pt idx="239">
                  <c:v>310</c:v>
                </c:pt>
                <c:pt idx="240">
                  <c:v>302.5</c:v>
                </c:pt>
                <c:pt idx="241">
                  <c:v>311</c:v>
                </c:pt>
                <c:pt idx="242">
                  <c:v>333</c:v>
                </c:pt>
                <c:pt idx="243">
                  <c:v>342.5</c:v>
                </c:pt>
                <c:pt idx="244">
                  <c:v>347.5</c:v>
                </c:pt>
                <c:pt idx="245">
                  <c:v>365</c:v>
                </c:pt>
                <c:pt idx="246">
                  <c:v>370</c:v>
                </c:pt>
                <c:pt idx="247">
                  <c:v>404.5</c:v>
                </c:pt>
                <c:pt idx="248">
                  <c:v>412.5</c:v>
                </c:pt>
                <c:pt idx="249">
                  <c:v>426</c:v>
                </c:pt>
                <c:pt idx="250">
                  <c:v>461</c:v>
                </c:pt>
                <c:pt idx="251">
                  <c:v>485</c:v>
                </c:pt>
                <c:pt idx="252">
                  <c:v>507.5</c:v>
                </c:pt>
                <c:pt idx="253">
                  <c:v>495</c:v>
                </c:pt>
                <c:pt idx="254">
                  <c:v>465</c:v>
                </c:pt>
                <c:pt idx="255">
                  <c:v>445</c:v>
                </c:pt>
                <c:pt idx="256">
                  <c:v>465</c:v>
                </c:pt>
                <c:pt idx="257">
                  <c:v>465</c:v>
                </c:pt>
                <c:pt idx="258">
                  <c:v>475</c:v>
                </c:pt>
                <c:pt idx="259">
                  <c:v>465</c:v>
                </c:pt>
                <c:pt idx="260">
                  <c:v>469.5</c:v>
                </c:pt>
                <c:pt idx="261">
                  <c:v>475</c:v>
                </c:pt>
                <c:pt idx="262">
                  <c:v>486.5</c:v>
                </c:pt>
                <c:pt idx="263">
                  <c:v>492.5</c:v>
                </c:pt>
                <c:pt idx="264">
                  <c:v>502</c:v>
                </c:pt>
                <c:pt idx="265">
                  <c:v>502.5</c:v>
                </c:pt>
                <c:pt idx="266">
                  <c:v>500</c:v>
                </c:pt>
                <c:pt idx="267">
                  <c:v>470</c:v>
                </c:pt>
                <c:pt idx="268">
                  <c:v>472.5</c:v>
                </c:pt>
                <c:pt idx="269">
                  <c:v>481.5</c:v>
                </c:pt>
                <c:pt idx="270">
                  <c:v>484</c:v>
                </c:pt>
                <c:pt idx="271">
                  <c:v>476.5</c:v>
                </c:pt>
                <c:pt idx="272">
                  <c:v>468</c:v>
                </c:pt>
                <c:pt idx="273">
                  <c:v>462.5</c:v>
                </c:pt>
                <c:pt idx="274">
                  <c:v>460</c:v>
                </c:pt>
                <c:pt idx="275">
                  <c:v>400</c:v>
                </c:pt>
                <c:pt idx="276">
                  <c:v>365</c:v>
                </c:pt>
                <c:pt idx="277">
                  <c:v>333.5</c:v>
                </c:pt>
                <c:pt idx="278">
                  <c:v>307.5</c:v>
                </c:pt>
                <c:pt idx="279">
                  <c:v>315</c:v>
                </c:pt>
                <c:pt idx="280">
                  <c:v>330</c:v>
                </c:pt>
                <c:pt idx="281">
                  <c:v>367.5</c:v>
                </c:pt>
                <c:pt idx="282">
                  <c:v>362.5</c:v>
                </c:pt>
                <c:pt idx="283">
                  <c:v>360</c:v>
                </c:pt>
                <c:pt idx="284">
                  <c:v>364</c:v>
                </c:pt>
                <c:pt idx="285">
                  <c:v>360</c:v>
                </c:pt>
                <c:pt idx="286">
                  <c:v>370</c:v>
                </c:pt>
                <c:pt idx="287">
                  <c:v>377.5</c:v>
                </c:pt>
                <c:pt idx="288">
                  <c:v>387.5</c:v>
                </c:pt>
                <c:pt idx="289">
                  <c:v>390</c:v>
                </c:pt>
                <c:pt idx="290">
                  <c:v>392.5</c:v>
                </c:pt>
                <c:pt idx="291">
                  <c:v>425</c:v>
                </c:pt>
                <c:pt idx="292">
                  <c:v>442.5</c:v>
                </c:pt>
                <c:pt idx="293">
                  <c:v>450</c:v>
                </c:pt>
                <c:pt idx="294">
                  <c:v>493.5</c:v>
                </c:pt>
                <c:pt idx="295">
                  <c:v>508.5</c:v>
                </c:pt>
                <c:pt idx="296">
                  <c:v>508.5</c:v>
                </c:pt>
                <c:pt idx="297">
                  <c:v>516</c:v>
                </c:pt>
                <c:pt idx="298">
                  <c:v>527.5</c:v>
                </c:pt>
                <c:pt idx="299">
                  <c:v>485</c:v>
                </c:pt>
                <c:pt idx="300">
                  <c:v>475</c:v>
                </c:pt>
                <c:pt idx="301">
                  <c:v>455</c:v>
                </c:pt>
                <c:pt idx="302">
                  <c:v>442.5</c:v>
                </c:pt>
                <c:pt idx="303">
                  <c:v>435</c:v>
                </c:pt>
                <c:pt idx="304">
                  <c:v>400</c:v>
                </c:pt>
                <c:pt idx="305">
                  <c:v>367.5</c:v>
                </c:pt>
                <c:pt idx="306">
                  <c:v>357.5</c:v>
                </c:pt>
                <c:pt idx="307">
                  <c:v>402.5</c:v>
                </c:pt>
                <c:pt idx="308">
                  <c:v>380</c:v>
                </c:pt>
                <c:pt idx="309">
                  <c:v>380</c:v>
                </c:pt>
                <c:pt idx="310">
                  <c:v>381.5</c:v>
                </c:pt>
                <c:pt idx="311">
                  <c:v>370</c:v>
                </c:pt>
                <c:pt idx="312">
                  <c:v>365</c:v>
                </c:pt>
                <c:pt idx="313">
                  <c:v>367.5</c:v>
                </c:pt>
                <c:pt idx="314">
                  <c:v>375</c:v>
                </c:pt>
                <c:pt idx="315">
                  <c:v>372.5</c:v>
                </c:pt>
                <c:pt idx="316">
                  <c:v>378.5</c:v>
                </c:pt>
                <c:pt idx="317">
                  <c:v>385</c:v>
                </c:pt>
                <c:pt idx="318">
                  <c:v>385</c:v>
                </c:pt>
                <c:pt idx="319">
                  <c:v>390</c:v>
                </c:pt>
                <c:pt idx="320">
                  <c:v>402.5</c:v>
                </c:pt>
                <c:pt idx="321">
                  <c:v>400</c:v>
                </c:pt>
                <c:pt idx="322">
                  <c:v>383.5</c:v>
                </c:pt>
                <c:pt idx="323">
                  <c:v>377.5</c:v>
                </c:pt>
                <c:pt idx="324">
                  <c:v>365</c:v>
                </c:pt>
                <c:pt idx="325">
                  <c:v>359</c:v>
                </c:pt>
                <c:pt idx="326">
                  <c:v>367</c:v>
                </c:pt>
                <c:pt idx="327">
                  <c:v>365</c:v>
                </c:pt>
                <c:pt idx="328">
                  <c:v>369</c:v>
                </c:pt>
                <c:pt idx="329">
                  <c:v>367.5</c:v>
                </c:pt>
                <c:pt idx="330">
                  <c:v>366.5</c:v>
                </c:pt>
                <c:pt idx="331">
                  <c:v>365</c:v>
                </c:pt>
                <c:pt idx="332">
                  <c:v>367</c:v>
                </c:pt>
                <c:pt idx="333">
                  <c:v>370</c:v>
                </c:pt>
                <c:pt idx="334">
                  <c:v>378</c:v>
                </c:pt>
                <c:pt idx="335">
                  <c:v>385</c:v>
                </c:pt>
                <c:pt idx="336">
                  <c:v>400</c:v>
                </c:pt>
                <c:pt idx="337">
                  <c:v>412.5</c:v>
                </c:pt>
                <c:pt idx="338">
                  <c:v>415</c:v>
                </c:pt>
                <c:pt idx="339">
                  <c:v>387.5</c:v>
                </c:pt>
                <c:pt idx="340">
                  <c:v>380</c:v>
                </c:pt>
                <c:pt idx="341">
                  <c:v>380</c:v>
                </c:pt>
                <c:pt idx="342">
                  <c:v>377.5</c:v>
                </c:pt>
                <c:pt idx="343">
                  <c:v>372.5</c:v>
                </c:pt>
                <c:pt idx="344">
                  <c:v>372.5</c:v>
                </c:pt>
                <c:pt idx="345">
                  <c:v>372.5</c:v>
                </c:pt>
                <c:pt idx="346">
                  <c:v>352.5</c:v>
                </c:pt>
                <c:pt idx="347">
                  <c:v>346</c:v>
                </c:pt>
                <c:pt idx="348">
                  <c:v>353.5</c:v>
                </c:pt>
                <c:pt idx="349">
                  <c:v>347.5</c:v>
                </c:pt>
                <c:pt idx="350">
                  <c:v>342.5</c:v>
                </c:pt>
                <c:pt idx="351">
                  <c:v>340</c:v>
                </c:pt>
                <c:pt idx="352">
                  <c:v>337.5</c:v>
                </c:pt>
                <c:pt idx="353">
                  <c:v>337.5</c:v>
                </c:pt>
                <c:pt idx="354">
                  <c:v>327.5</c:v>
                </c:pt>
                <c:pt idx="355">
                  <c:v>305</c:v>
                </c:pt>
                <c:pt idx="356">
                  <c:v>307.5</c:v>
                </c:pt>
                <c:pt idx="357">
                  <c:v>307.5</c:v>
                </c:pt>
                <c:pt idx="358">
                  <c:v>317.5</c:v>
                </c:pt>
                <c:pt idx="359">
                  <c:v>317.5</c:v>
                </c:pt>
                <c:pt idx="360">
                  <c:v>322.5</c:v>
                </c:pt>
                <c:pt idx="361">
                  <c:v>321.5</c:v>
                </c:pt>
                <c:pt idx="362">
                  <c:v>319</c:v>
                </c:pt>
                <c:pt idx="363">
                  <c:v>312.5</c:v>
                </c:pt>
                <c:pt idx="364">
                  <c:v>298.5</c:v>
                </c:pt>
                <c:pt idx="365">
                  <c:v>289.5</c:v>
                </c:pt>
                <c:pt idx="366">
                  <c:v>280.5</c:v>
                </c:pt>
                <c:pt idx="367">
                  <c:v>270.5</c:v>
                </c:pt>
                <c:pt idx="368">
                  <c:v>275</c:v>
                </c:pt>
                <c:pt idx="369">
                  <c:v>274</c:v>
                </c:pt>
                <c:pt idx="370">
                  <c:v>277.5</c:v>
                </c:pt>
                <c:pt idx="371">
                  <c:v>280</c:v>
                </c:pt>
                <c:pt idx="372">
                  <c:v>282.5</c:v>
                </c:pt>
                <c:pt idx="373">
                  <c:v>285.5</c:v>
                </c:pt>
                <c:pt idx="374">
                  <c:v>286</c:v>
                </c:pt>
                <c:pt idx="375">
                  <c:v>293</c:v>
                </c:pt>
                <c:pt idx="376">
                  <c:v>300.5</c:v>
                </c:pt>
                <c:pt idx="377">
                  <c:v>302.5</c:v>
                </c:pt>
                <c:pt idx="378">
                  <c:v>300</c:v>
                </c:pt>
                <c:pt idx="379">
                  <c:v>307.5</c:v>
                </c:pt>
                <c:pt idx="380">
                  <c:v>313</c:v>
                </c:pt>
                <c:pt idx="381">
                  <c:v>323</c:v>
                </c:pt>
                <c:pt idx="382">
                  <c:v>332.5</c:v>
                </c:pt>
                <c:pt idx="383">
                  <c:v>332.5</c:v>
                </c:pt>
                <c:pt idx="384">
                  <c:v>323.5</c:v>
                </c:pt>
                <c:pt idx="385">
                  <c:v>325</c:v>
                </c:pt>
                <c:pt idx="386">
                  <c:v>335</c:v>
                </c:pt>
                <c:pt idx="387">
                  <c:v>360</c:v>
                </c:pt>
                <c:pt idx="388">
                  <c:v>354</c:v>
                </c:pt>
                <c:pt idx="389">
                  <c:v>351.5</c:v>
                </c:pt>
                <c:pt idx="390">
                  <c:v>337.5</c:v>
                </c:pt>
                <c:pt idx="391">
                  <c:v>333</c:v>
                </c:pt>
                <c:pt idx="392">
                  <c:v>325</c:v>
                </c:pt>
                <c:pt idx="393">
                  <c:v>322.5</c:v>
                </c:pt>
                <c:pt idx="394">
                  <c:v>314.5</c:v>
                </c:pt>
                <c:pt idx="395">
                  <c:v>307.5</c:v>
                </c:pt>
                <c:pt idx="396">
                  <c:v>300</c:v>
                </c:pt>
                <c:pt idx="397">
                  <c:v>290</c:v>
                </c:pt>
                <c:pt idx="398">
                  <c:v>286.5</c:v>
                </c:pt>
                <c:pt idx="399">
                  <c:v>290.5</c:v>
                </c:pt>
                <c:pt idx="400">
                  <c:v>292.5</c:v>
                </c:pt>
                <c:pt idx="401">
                  <c:v>296.5</c:v>
                </c:pt>
                <c:pt idx="402">
                  <c:v>296.5</c:v>
                </c:pt>
                <c:pt idx="403">
                  <c:v>296.5</c:v>
                </c:pt>
                <c:pt idx="404">
                  <c:v>287.5</c:v>
                </c:pt>
                <c:pt idx="405">
                  <c:v>295</c:v>
                </c:pt>
                <c:pt idx="406">
                  <c:v>295</c:v>
                </c:pt>
                <c:pt idx="407">
                  <c:v>300</c:v>
                </c:pt>
                <c:pt idx="408">
                  <c:v>300</c:v>
                </c:pt>
                <c:pt idx="409">
                  <c:v>300</c:v>
                </c:pt>
                <c:pt idx="410">
                  <c:v>302.5</c:v>
                </c:pt>
                <c:pt idx="411">
                  <c:v>301.5</c:v>
                </c:pt>
                <c:pt idx="412">
                  <c:v>292.5</c:v>
                </c:pt>
                <c:pt idx="413">
                  <c:v>295</c:v>
                </c:pt>
                <c:pt idx="414">
                  <c:v>305</c:v>
                </c:pt>
                <c:pt idx="415">
                  <c:v>307.5</c:v>
                </c:pt>
                <c:pt idx="416">
                  <c:v>310.5</c:v>
                </c:pt>
                <c:pt idx="417">
                  <c:v>323.5</c:v>
                </c:pt>
                <c:pt idx="418">
                  <c:v>329.5</c:v>
                </c:pt>
                <c:pt idx="419">
                  <c:v>332.5</c:v>
                </c:pt>
                <c:pt idx="420">
                  <c:v>330</c:v>
                </c:pt>
                <c:pt idx="421">
                  <c:v>327.5</c:v>
                </c:pt>
                <c:pt idx="422">
                  <c:v>320</c:v>
                </c:pt>
                <c:pt idx="423">
                  <c:v>320</c:v>
                </c:pt>
                <c:pt idx="424">
                  <c:v>320</c:v>
                </c:pt>
                <c:pt idx="425">
                  <c:v>320</c:v>
                </c:pt>
                <c:pt idx="426">
                  <c:v>317.5</c:v>
                </c:pt>
                <c:pt idx="427">
                  <c:v>317.5</c:v>
                </c:pt>
                <c:pt idx="428">
                  <c:v>312</c:v>
                </c:pt>
                <c:pt idx="429">
                  <c:v>312</c:v>
                </c:pt>
                <c:pt idx="430">
                  <c:v>306.5</c:v>
                </c:pt>
                <c:pt idx="431">
                  <c:v>302.5</c:v>
                </c:pt>
                <c:pt idx="432">
                  <c:v>300</c:v>
                </c:pt>
                <c:pt idx="433">
                  <c:v>305</c:v>
                </c:pt>
                <c:pt idx="434">
                  <c:v>315</c:v>
                </c:pt>
                <c:pt idx="435">
                  <c:v>315</c:v>
                </c:pt>
                <c:pt idx="436">
                  <c:v>317.5</c:v>
                </c:pt>
                <c:pt idx="437">
                  <c:v>312.5</c:v>
                </c:pt>
                <c:pt idx="438">
                  <c:v>312.5</c:v>
                </c:pt>
                <c:pt idx="439">
                  <c:v>302.5</c:v>
                </c:pt>
                <c:pt idx="440">
                  <c:v>302.5</c:v>
                </c:pt>
                <c:pt idx="441">
                  <c:v>296</c:v>
                </c:pt>
                <c:pt idx="442">
                  <c:v>291</c:v>
                </c:pt>
                <c:pt idx="443">
                  <c:v>284.5</c:v>
                </c:pt>
                <c:pt idx="444">
                  <c:v>275.5</c:v>
                </c:pt>
                <c:pt idx="445">
                  <c:v>270.5</c:v>
                </c:pt>
                <c:pt idx="446">
                  <c:v>260.5</c:v>
                </c:pt>
                <c:pt idx="447">
                  <c:v>260.5</c:v>
                </c:pt>
                <c:pt idx="448">
                  <c:v>257.5</c:v>
                </c:pt>
                <c:pt idx="449">
                  <c:v>249.5</c:v>
                </c:pt>
                <c:pt idx="450">
                  <c:v>247.5</c:v>
                </c:pt>
                <c:pt idx="451">
                  <c:v>250.5</c:v>
                </c:pt>
                <c:pt idx="452">
                  <c:v>260</c:v>
                </c:pt>
                <c:pt idx="453">
                  <c:v>268</c:v>
                </c:pt>
                <c:pt idx="454">
                  <c:v>275.5</c:v>
                </c:pt>
                <c:pt idx="455">
                  <c:v>280.5</c:v>
                </c:pt>
                <c:pt idx="456">
                  <c:v>282.5</c:v>
                </c:pt>
                <c:pt idx="457">
                  <c:v>290.5</c:v>
                </c:pt>
                <c:pt idx="458">
                  <c:v>288</c:v>
                </c:pt>
                <c:pt idx="459">
                  <c:v>287.5</c:v>
                </c:pt>
                <c:pt idx="460">
                  <c:v>286.5</c:v>
                </c:pt>
                <c:pt idx="461">
                  <c:v>282.5</c:v>
                </c:pt>
                <c:pt idx="462">
                  <c:v>279.5</c:v>
                </c:pt>
                <c:pt idx="463">
                  <c:v>267.5</c:v>
                </c:pt>
                <c:pt idx="464">
                  <c:v>265.5</c:v>
                </c:pt>
                <c:pt idx="465">
                  <c:v>261.5</c:v>
                </c:pt>
                <c:pt idx="466">
                  <c:v>267.5</c:v>
                </c:pt>
                <c:pt idx="467">
                  <c:v>273</c:v>
                </c:pt>
                <c:pt idx="468">
                  <c:v>270.5</c:v>
                </c:pt>
                <c:pt idx="469">
                  <c:v>269</c:v>
                </c:pt>
                <c:pt idx="470">
                  <c:v>263.5</c:v>
                </c:pt>
                <c:pt idx="471">
                  <c:v>260</c:v>
                </c:pt>
                <c:pt idx="472">
                  <c:v>252.5</c:v>
                </c:pt>
                <c:pt idx="473">
                  <c:v>245</c:v>
                </c:pt>
                <c:pt idx="474">
                  <c:v>244</c:v>
                </c:pt>
                <c:pt idx="475">
                  <c:v>245.5</c:v>
                </c:pt>
                <c:pt idx="476">
                  <c:v>248.5</c:v>
                </c:pt>
                <c:pt idx="477">
                  <c:v>251.5</c:v>
                </c:pt>
                <c:pt idx="478">
                  <c:v>257.5</c:v>
                </c:pt>
                <c:pt idx="479">
                  <c:v>260</c:v>
                </c:pt>
                <c:pt idx="480">
                  <c:v>260.5</c:v>
                </c:pt>
                <c:pt idx="481">
                  <c:v>255.5</c:v>
                </c:pt>
                <c:pt idx="482">
                  <c:v>246</c:v>
                </c:pt>
                <c:pt idx="483">
                  <c:v>237.5</c:v>
                </c:pt>
                <c:pt idx="484">
                  <c:v>239</c:v>
                </c:pt>
                <c:pt idx="485">
                  <c:v>234.5</c:v>
                </c:pt>
                <c:pt idx="486">
                  <c:v>231.5</c:v>
                </c:pt>
                <c:pt idx="487">
                  <c:v>231.5</c:v>
                </c:pt>
                <c:pt idx="488">
                  <c:v>226.5</c:v>
                </c:pt>
                <c:pt idx="489">
                  <c:v>219.5</c:v>
                </c:pt>
                <c:pt idx="490">
                  <c:v>206</c:v>
                </c:pt>
                <c:pt idx="491">
                  <c:v>184</c:v>
                </c:pt>
                <c:pt idx="492">
                  <c:v>190.5</c:v>
                </c:pt>
                <c:pt idx="493">
                  <c:v>190.5</c:v>
                </c:pt>
                <c:pt idx="494">
                  <c:v>202.5</c:v>
                </c:pt>
                <c:pt idx="495">
                  <c:v>210.5</c:v>
                </c:pt>
                <c:pt idx="496">
                  <c:v>205.5</c:v>
                </c:pt>
                <c:pt idx="497">
                  <c:v>196</c:v>
                </c:pt>
                <c:pt idx="498">
                  <c:v>186.5</c:v>
                </c:pt>
                <c:pt idx="499">
                  <c:v>186.5</c:v>
                </c:pt>
                <c:pt idx="500">
                  <c:v>193.5</c:v>
                </c:pt>
                <c:pt idx="501">
                  <c:v>197.5</c:v>
                </c:pt>
                <c:pt idx="502">
                  <c:v>200</c:v>
                </c:pt>
                <c:pt idx="503">
                  <c:v>202</c:v>
                </c:pt>
                <c:pt idx="504">
                  <c:v>201.5</c:v>
                </c:pt>
                <c:pt idx="505">
                  <c:v>198.5</c:v>
                </c:pt>
                <c:pt idx="506">
                  <c:v>196.5</c:v>
                </c:pt>
                <c:pt idx="507">
                  <c:v>195.5</c:v>
                </c:pt>
                <c:pt idx="508">
                  <c:v>187.5</c:v>
                </c:pt>
                <c:pt idx="509">
                  <c:v>190.5</c:v>
                </c:pt>
                <c:pt idx="510">
                  <c:v>191</c:v>
                </c:pt>
                <c:pt idx="511">
                  <c:v>190.5</c:v>
                </c:pt>
                <c:pt idx="512">
                  <c:v>186</c:v>
                </c:pt>
                <c:pt idx="513">
                  <c:v>186.5</c:v>
                </c:pt>
                <c:pt idx="514">
                  <c:v>181.5</c:v>
                </c:pt>
                <c:pt idx="515">
                  <c:v>175</c:v>
                </c:pt>
                <c:pt idx="516">
                  <c:v>174</c:v>
                </c:pt>
                <c:pt idx="517">
                  <c:v>175.5</c:v>
                </c:pt>
                <c:pt idx="518">
                  <c:v>176.5</c:v>
                </c:pt>
                <c:pt idx="519">
                  <c:v>180</c:v>
                </c:pt>
                <c:pt idx="520">
                  <c:v>182</c:v>
                </c:pt>
                <c:pt idx="521">
                  <c:v>184</c:v>
                </c:pt>
                <c:pt idx="522">
                  <c:v>187</c:v>
                </c:pt>
                <c:pt idx="523">
                  <c:v>189</c:v>
                </c:pt>
                <c:pt idx="524">
                  <c:v>188.5</c:v>
                </c:pt>
                <c:pt idx="525">
                  <c:v>188.5</c:v>
                </c:pt>
                <c:pt idx="526">
                  <c:v>188.5</c:v>
                </c:pt>
                <c:pt idx="527">
                  <c:v>186.5</c:v>
                </c:pt>
                <c:pt idx="528">
                  <c:v>187</c:v>
                </c:pt>
                <c:pt idx="529">
                  <c:v>190.5</c:v>
                </c:pt>
                <c:pt idx="530">
                  <c:v>190.5</c:v>
                </c:pt>
                <c:pt idx="531">
                  <c:v>195</c:v>
                </c:pt>
                <c:pt idx="532">
                  <c:v>207.5</c:v>
                </c:pt>
                <c:pt idx="533">
                  <c:v>220.5</c:v>
                </c:pt>
                <c:pt idx="534">
                  <c:v>220</c:v>
                </c:pt>
                <c:pt idx="535">
                  <c:v>207.5</c:v>
                </c:pt>
                <c:pt idx="536">
                  <c:v>212.5</c:v>
                </c:pt>
                <c:pt idx="537">
                  <c:v>214</c:v>
                </c:pt>
                <c:pt idx="538">
                  <c:v>220.5</c:v>
                </c:pt>
                <c:pt idx="539">
                  <c:v>221.5</c:v>
                </c:pt>
                <c:pt idx="540">
                  <c:v>230.5</c:v>
                </c:pt>
                <c:pt idx="541">
                  <c:v>246.5</c:v>
                </c:pt>
                <c:pt idx="542">
                  <c:v>247.5</c:v>
                </c:pt>
                <c:pt idx="543">
                  <c:v>250</c:v>
                </c:pt>
                <c:pt idx="544">
                  <c:v>250</c:v>
                </c:pt>
                <c:pt idx="545">
                  <c:v>250</c:v>
                </c:pt>
                <c:pt idx="546">
                  <c:v>245</c:v>
                </c:pt>
                <c:pt idx="547">
                  <c:v>242.5</c:v>
                </c:pt>
                <c:pt idx="548">
                  <c:v>239</c:v>
                </c:pt>
                <c:pt idx="549">
                  <c:v>232</c:v>
                </c:pt>
                <c:pt idx="550">
                  <c:v>230.5</c:v>
                </c:pt>
                <c:pt idx="551">
                  <c:v>204</c:v>
                </c:pt>
              </c:numCache>
            </c:numRef>
          </c:xVal>
          <c:yVal>
            <c:numRef>
              <c:f>'model (2)'!$E$472:$E$1023</c:f>
              <c:numCache>
                <c:formatCode>General</c:formatCode>
                <c:ptCount val="552"/>
                <c:pt idx="0">
                  <c:v>159</c:v>
                </c:pt>
                <c:pt idx="1">
                  <c:v>159</c:v>
                </c:pt>
                <c:pt idx="2">
                  <c:v>159</c:v>
                </c:pt>
                <c:pt idx="3">
                  <c:v>159</c:v>
                </c:pt>
                <c:pt idx="4">
                  <c:v>153.5</c:v>
                </c:pt>
                <c:pt idx="5">
                  <c:v>153.5</c:v>
                </c:pt>
                <c:pt idx="6">
                  <c:v>153.5</c:v>
                </c:pt>
                <c:pt idx="7">
                  <c:v>153.5</c:v>
                </c:pt>
                <c:pt idx="8">
                  <c:v>151</c:v>
                </c:pt>
                <c:pt idx="9">
                  <c:v>151</c:v>
                </c:pt>
                <c:pt idx="10">
                  <c:v>151</c:v>
                </c:pt>
                <c:pt idx="11">
                  <c:v>151</c:v>
                </c:pt>
                <c:pt idx="12">
                  <c:v>151</c:v>
                </c:pt>
                <c:pt idx="13">
                  <c:v>151</c:v>
                </c:pt>
                <c:pt idx="14">
                  <c:v>149</c:v>
                </c:pt>
                <c:pt idx="15">
                  <c:v>149</c:v>
                </c:pt>
                <c:pt idx="16">
                  <c:v>149</c:v>
                </c:pt>
                <c:pt idx="17">
                  <c:v>149</c:v>
                </c:pt>
                <c:pt idx="18">
                  <c:v>149</c:v>
                </c:pt>
                <c:pt idx="19">
                  <c:v>146.5</c:v>
                </c:pt>
                <c:pt idx="20">
                  <c:v>146.5</c:v>
                </c:pt>
                <c:pt idx="21">
                  <c:v>137.5</c:v>
                </c:pt>
                <c:pt idx="22">
                  <c:v>136.5</c:v>
                </c:pt>
                <c:pt idx="23">
                  <c:v>132.5</c:v>
                </c:pt>
                <c:pt idx="24">
                  <c:v>130</c:v>
                </c:pt>
                <c:pt idx="25">
                  <c:v>130</c:v>
                </c:pt>
                <c:pt idx="26">
                  <c:v>130</c:v>
                </c:pt>
                <c:pt idx="27">
                  <c:v>137.5</c:v>
                </c:pt>
                <c:pt idx="28">
                  <c:v>137.5</c:v>
                </c:pt>
                <c:pt idx="29">
                  <c:v>142.5</c:v>
                </c:pt>
                <c:pt idx="30">
                  <c:v>142.5</c:v>
                </c:pt>
                <c:pt idx="31">
                  <c:v>142.5</c:v>
                </c:pt>
                <c:pt idx="32">
                  <c:v>146.5</c:v>
                </c:pt>
                <c:pt idx="33">
                  <c:v>149</c:v>
                </c:pt>
                <c:pt idx="34">
                  <c:v>149</c:v>
                </c:pt>
                <c:pt idx="35">
                  <c:v>149</c:v>
                </c:pt>
                <c:pt idx="36">
                  <c:v>149</c:v>
                </c:pt>
                <c:pt idx="37">
                  <c:v>149</c:v>
                </c:pt>
                <c:pt idx="38">
                  <c:v>149</c:v>
                </c:pt>
                <c:pt idx="39">
                  <c:v>125</c:v>
                </c:pt>
                <c:pt idx="40">
                  <c:v>127.5</c:v>
                </c:pt>
                <c:pt idx="41">
                  <c:v>127.5</c:v>
                </c:pt>
                <c:pt idx="42">
                  <c:v>135</c:v>
                </c:pt>
                <c:pt idx="43">
                  <c:v>132.5</c:v>
                </c:pt>
                <c:pt idx="44">
                  <c:v>132.5</c:v>
                </c:pt>
                <c:pt idx="45">
                  <c:v>137.5</c:v>
                </c:pt>
                <c:pt idx="46">
                  <c:v>152.5</c:v>
                </c:pt>
                <c:pt idx="47">
                  <c:v>152.5</c:v>
                </c:pt>
                <c:pt idx="48">
                  <c:v>152.5</c:v>
                </c:pt>
                <c:pt idx="49">
                  <c:v>152.5</c:v>
                </c:pt>
                <c:pt idx="50">
                  <c:v>173</c:v>
                </c:pt>
                <c:pt idx="51">
                  <c:v>173</c:v>
                </c:pt>
                <c:pt idx="52">
                  <c:v>173</c:v>
                </c:pt>
                <c:pt idx="53">
                  <c:v>177.5</c:v>
                </c:pt>
                <c:pt idx="54">
                  <c:v>175</c:v>
                </c:pt>
                <c:pt idx="55">
                  <c:v>175</c:v>
                </c:pt>
                <c:pt idx="56">
                  <c:v>187.5</c:v>
                </c:pt>
                <c:pt idx="57">
                  <c:v>201</c:v>
                </c:pt>
                <c:pt idx="58">
                  <c:v>201</c:v>
                </c:pt>
                <c:pt idx="59">
                  <c:v>201</c:v>
                </c:pt>
                <c:pt idx="60">
                  <c:v>201</c:v>
                </c:pt>
                <c:pt idx="61">
                  <c:v>201</c:v>
                </c:pt>
                <c:pt idx="62">
                  <c:v>217.5</c:v>
                </c:pt>
                <c:pt idx="63">
                  <c:v>217.5</c:v>
                </c:pt>
                <c:pt idx="64">
                  <c:v>217.5</c:v>
                </c:pt>
                <c:pt idx="65">
                  <c:v>212.5</c:v>
                </c:pt>
                <c:pt idx="66">
                  <c:v>212.5</c:v>
                </c:pt>
                <c:pt idx="67">
                  <c:v>212.5</c:v>
                </c:pt>
                <c:pt idx="68">
                  <c:v>206.5</c:v>
                </c:pt>
                <c:pt idx="69">
                  <c:v>206.5</c:v>
                </c:pt>
                <c:pt idx="70">
                  <c:v>200</c:v>
                </c:pt>
                <c:pt idx="71">
                  <c:v>187.5</c:v>
                </c:pt>
                <c:pt idx="72">
                  <c:v>186.5</c:v>
                </c:pt>
                <c:pt idx="73">
                  <c:v>186.5</c:v>
                </c:pt>
                <c:pt idx="74">
                  <c:v>196</c:v>
                </c:pt>
                <c:pt idx="75">
                  <c:v>210</c:v>
                </c:pt>
                <c:pt idx="76">
                  <c:v>216.5</c:v>
                </c:pt>
                <c:pt idx="77">
                  <c:v>222</c:v>
                </c:pt>
                <c:pt idx="78">
                  <c:v>227.5</c:v>
                </c:pt>
                <c:pt idx="79">
                  <c:v>227.5</c:v>
                </c:pt>
                <c:pt idx="80">
                  <c:v>237.5</c:v>
                </c:pt>
                <c:pt idx="81">
                  <c:v>241</c:v>
                </c:pt>
                <c:pt idx="82">
                  <c:v>241</c:v>
                </c:pt>
                <c:pt idx="83">
                  <c:v>241</c:v>
                </c:pt>
                <c:pt idx="84">
                  <c:v>241</c:v>
                </c:pt>
                <c:pt idx="85">
                  <c:v>231.5</c:v>
                </c:pt>
                <c:pt idx="86">
                  <c:v>242.5</c:v>
                </c:pt>
                <c:pt idx="87">
                  <c:v>242.5</c:v>
                </c:pt>
                <c:pt idx="88">
                  <c:v>242.5</c:v>
                </c:pt>
                <c:pt idx="89">
                  <c:v>242.5</c:v>
                </c:pt>
                <c:pt idx="90">
                  <c:v>251</c:v>
                </c:pt>
                <c:pt idx="91">
                  <c:v>259</c:v>
                </c:pt>
                <c:pt idx="92">
                  <c:v>262.5</c:v>
                </c:pt>
                <c:pt idx="93">
                  <c:v>265</c:v>
                </c:pt>
                <c:pt idx="94">
                  <c:v>265</c:v>
                </c:pt>
                <c:pt idx="95">
                  <c:v>280</c:v>
                </c:pt>
                <c:pt idx="96">
                  <c:v>302.5</c:v>
                </c:pt>
                <c:pt idx="97">
                  <c:v>305</c:v>
                </c:pt>
                <c:pt idx="98">
                  <c:v>309</c:v>
                </c:pt>
                <c:pt idx="99">
                  <c:v>309</c:v>
                </c:pt>
                <c:pt idx="100">
                  <c:v>309</c:v>
                </c:pt>
                <c:pt idx="101">
                  <c:v>337.5</c:v>
                </c:pt>
                <c:pt idx="102">
                  <c:v>339.5</c:v>
                </c:pt>
                <c:pt idx="103">
                  <c:v>339.5</c:v>
                </c:pt>
                <c:pt idx="104">
                  <c:v>299</c:v>
                </c:pt>
                <c:pt idx="105">
                  <c:v>317.5</c:v>
                </c:pt>
                <c:pt idx="106">
                  <c:v>327.5</c:v>
                </c:pt>
                <c:pt idx="107">
                  <c:v>327.5</c:v>
                </c:pt>
                <c:pt idx="108">
                  <c:v>302.5</c:v>
                </c:pt>
                <c:pt idx="109">
                  <c:v>302.5</c:v>
                </c:pt>
                <c:pt idx="110">
                  <c:v>302.5</c:v>
                </c:pt>
                <c:pt idx="111">
                  <c:v>302.5</c:v>
                </c:pt>
                <c:pt idx="112">
                  <c:v>302.5</c:v>
                </c:pt>
                <c:pt idx="113">
                  <c:v>302.5</c:v>
                </c:pt>
                <c:pt idx="114">
                  <c:v>297.5</c:v>
                </c:pt>
                <c:pt idx="115">
                  <c:v>287.5</c:v>
                </c:pt>
                <c:pt idx="116">
                  <c:v>287.5</c:v>
                </c:pt>
                <c:pt idx="117">
                  <c:v>477.5</c:v>
                </c:pt>
                <c:pt idx="118">
                  <c:v>477.5</c:v>
                </c:pt>
                <c:pt idx="119">
                  <c:v>410</c:v>
                </c:pt>
                <c:pt idx="120">
                  <c:v>390</c:v>
                </c:pt>
                <c:pt idx="121">
                  <c:v>310</c:v>
                </c:pt>
                <c:pt idx="122">
                  <c:v>260</c:v>
                </c:pt>
                <c:pt idx="123">
                  <c:v>260</c:v>
                </c:pt>
                <c:pt idx="124">
                  <c:v>260</c:v>
                </c:pt>
                <c:pt idx="125">
                  <c:v>250</c:v>
                </c:pt>
                <c:pt idx="126">
                  <c:v>250</c:v>
                </c:pt>
                <c:pt idx="127">
                  <c:v>240</c:v>
                </c:pt>
                <c:pt idx="128">
                  <c:v>230</c:v>
                </c:pt>
                <c:pt idx="129">
                  <c:v>220</c:v>
                </c:pt>
                <c:pt idx="130">
                  <c:v>220</c:v>
                </c:pt>
                <c:pt idx="131">
                  <c:v>210</c:v>
                </c:pt>
                <c:pt idx="132">
                  <c:v>200</c:v>
                </c:pt>
                <c:pt idx="133">
                  <c:v>190</c:v>
                </c:pt>
                <c:pt idx="134">
                  <c:v>195</c:v>
                </c:pt>
                <c:pt idx="135">
                  <c:v>195</c:v>
                </c:pt>
                <c:pt idx="136">
                  <c:v>190</c:v>
                </c:pt>
                <c:pt idx="137">
                  <c:v>190</c:v>
                </c:pt>
                <c:pt idx="138">
                  <c:v>190</c:v>
                </c:pt>
                <c:pt idx="139">
                  <c:v>190</c:v>
                </c:pt>
                <c:pt idx="140">
                  <c:v>190</c:v>
                </c:pt>
                <c:pt idx="141">
                  <c:v>175</c:v>
                </c:pt>
                <c:pt idx="142">
                  <c:v>175</c:v>
                </c:pt>
                <c:pt idx="143">
                  <c:v>175</c:v>
                </c:pt>
                <c:pt idx="144">
                  <c:v>175</c:v>
                </c:pt>
                <c:pt idx="145">
                  <c:v>172.5</c:v>
                </c:pt>
                <c:pt idx="146">
                  <c:v>162.5</c:v>
                </c:pt>
                <c:pt idx="147">
                  <c:v>162.5</c:v>
                </c:pt>
                <c:pt idx="148">
                  <c:v>162.5</c:v>
                </c:pt>
                <c:pt idx="149">
                  <c:v>162.5</c:v>
                </c:pt>
                <c:pt idx="150">
                  <c:v>137.5</c:v>
                </c:pt>
                <c:pt idx="151">
                  <c:v>137.5</c:v>
                </c:pt>
                <c:pt idx="152">
                  <c:v>132.5</c:v>
                </c:pt>
                <c:pt idx="153">
                  <c:v>132.5</c:v>
                </c:pt>
                <c:pt idx="154">
                  <c:v>132.5</c:v>
                </c:pt>
                <c:pt idx="155">
                  <c:v>132.5</c:v>
                </c:pt>
                <c:pt idx="156">
                  <c:v>132.5</c:v>
                </c:pt>
                <c:pt idx="157">
                  <c:v>132.5</c:v>
                </c:pt>
                <c:pt idx="158">
                  <c:v>132.5</c:v>
                </c:pt>
                <c:pt idx="159">
                  <c:v>98.5</c:v>
                </c:pt>
                <c:pt idx="160">
                  <c:v>98.5</c:v>
                </c:pt>
                <c:pt idx="161">
                  <c:v>116</c:v>
                </c:pt>
                <c:pt idx="162">
                  <c:v>132.5</c:v>
                </c:pt>
                <c:pt idx="163">
                  <c:v>132.5</c:v>
                </c:pt>
                <c:pt idx="164">
                  <c:v>132.5</c:v>
                </c:pt>
                <c:pt idx="165">
                  <c:v>162.5</c:v>
                </c:pt>
                <c:pt idx="166">
                  <c:v>162.5</c:v>
                </c:pt>
                <c:pt idx="167">
                  <c:v>142.5</c:v>
                </c:pt>
                <c:pt idx="168">
                  <c:v>142.5</c:v>
                </c:pt>
                <c:pt idx="169">
                  <c:v>137.5</c:v>
                </c:pt>
                <c:pt idx="170">
                  <c:v>136.5</c:v>
                </c:pt>
                <c:pt idx="171">
                  <c:v>136.5</c:v>
                </c:pt>
                <c:pt idx="172">
                  <c:v>136.5</c:v>
                </c:pt>
                <c:pt idx="173">
                  <c:v>136.5</c:v>
                </c:pt>
                <c:pt idx="174">
                  <c:v>136.5</c:v>
                </c:pt>
                <c:pt idx="175">
                  <c:v>152.5</c:v>
                </c:pt>
                <c:pt idx="176">
                  <c:v>152.5</c:v>
                </c:pt>
                <c:pt idx="177">
                  <c:v>152.5</c:v>
                </c:pt>
                <c:pt idx="178">
                  <c:v>157.5</c:v>
                </c:pt>
                <c:pt idx="179">
                  <c:v>179</c:v>
                </c:pt>
                <c:pt idx="180">
                  <c:v>179</c:v>
                </c:pt>
                <c:pt idx="181">
                  <c:v>179</c:v>
                </c:pt>
                <c:pt idx="182">
                  <c:v>187.5</c:v>
                </c:pt>
                <c:pt idx="183">
                  <c:v>177.5</c:v>
                </c:pt>
                <c:pt idx="184">
                  <c:v>177.5</c:v>
                </c:pt>
                <c:pt idx="185">
                  <c:v>187.5</c:v>
                </c:pt>
                <c:pt idx="186">
                  <c:v>197.5</c:v>
                </c:pt>
                <c:pt idx="187">
                  <c:v>197.5</c:v>
                </c:pt>
                <c:pt idx="188">
                  <c:v>197.5</c:v>
                </c:pt>
                <c:pt idx="189">
                  <c:v>197.5</c:v>
                </c:pt>
                <c:pt idx="190">
                  <c:v>202.5</c:v>
                </c:pt>
                <c:pt idx="191">
                  <c:v>202.5</c:v>
                </c:pt>
                <c:pt idx="192">
                  <c:v>202.5</c:v>
                </c:pt>
                <c:pt idx="193">
                  <c:v>197.5</c:v>
                </c:pt>
                <c:pt idx="194">
                  <c:v>187.5</c:v>
                </c:pt>
                <c:pt idx="195">
                  <c:v>187.5</c:v>
                </c:pt>
                <c:pt idx="196">
                  <c:v>187.5</c:v>
                </c:pt>
                <c:pt idx="197">
                  <c:v>182.5</c:v>
                </c:pt>
                <c:pt idx="198">
                  <c:v>177.5</c:v>
                </c:pt>
                <c:pt idx="199">
                  <c:v>172.5</c:v>
                </c:pt>
                <c:pt idx="200">
                  <c:v>172.5</c:v>
                </c:pt>
                <c:pt idx="201">
                  <c:v>152.5</c:v>
                </c:pt>
                <c:pt idx="202">
                  <c:v>152.5</c:v>
                </c:pt>
                <c:pt idx="203">
                  <c:v>152.5</c:v>
                </c:pt>
                <c:pt idx="204">
                  <c:v>152.5</c:v>
                </c:pt>
                <c:pt idx="205">
                  <c:v>152.5</c:v>
                </c:pt>
                <c:pt idx="206">
                  <c:v>152.5</c:v>
                </c:pt>
                <c:pt idx="207">
                  <c:v>147.5</c:v>
                </c:pt>
                <c:pt idx="208">
                  <c:v>147.5</c:v>
                </c:pt>
                <c:pt idx="209">
                  <c:v>147.5</c:v>
                </c:pt>
                <c:pt idx="210">
                  <c:v>157.5</c:v>
                </c:pt>
                <c:pt idx="211">
                  <c:v>162.5</c:v>
                </c:pt>
                <c:pt idx="212">
                  <c:v>179.5</c:v>
                </c:pt>
                <c:pt idx="213">
                  <c:v>177.5</c:v>
                </c:pt>
                <c:pt idx="214">
                  <c:v>202.5</c:v>
                </c:pt>
                <c:pt idx="215">
                  <c:v>202.5</c:v>
                </c:pt>
                <c:pt idx="216">
                  <c:v>222.5</c:v>
                </c:pt>
                <c:pt idx="217">
                  <c:v>222.5</c:v>
                </c:pt>
                <c:pt idx="218">
                  <c:v>228.5</c:v>
                </c:pt>
                <c:pt idx="219">
                  <c:v>228.5</c:v>
                </c:pt>
                <c:pt idx="220">
                  <c:v>228.5</c:v>
                </c:pt>
                <c:pt idx="221">
                  <c:v>265</c:v>
                </c:pt>
                <c:pt idx="222">
                  <c:v>265</c:v>
                </c:pt>
                <c:pt idx="223">
                  <c:v>265</c:v>
                </c:pt>
                <c:pt idx="224">
                  <c:v>272.5</c:v>
                </c:pt>
                <c:pt idx="225">
                  <c:v>257.5</c:v>
                </c:pt>
                <c:pt idx="226">
                  <c:v>260</c:v>
                </c:pt>
                <c:pt idx="227">
                  <c:v>260</c:v>
                </c:pt>
                <c:pt idx="228">
                  <c:v>260</c:v>
                </c:pt>
                <c:pt idx="229">
                  <c:v>275</c:v>
                </c:pt>
                <c:pt idx="230">
                  <c:v>275</c:v>
                </c:pt>
                <c:pt idx="231">
                  <c:v>275</c:v>
                </c:pt>
                <c:pt idx="232">
                  <c:v>267.5</c:v>
                </c:pt>
                <c:pt idx="233">
                  <c:v>262.5</c:v>
                </c:pt>
                <c:pt idx="234">
                  <c:v>262.5</c:v>
                </c:pt>
                <c:pt idx="235">
                  <c:v>262.5</c:v>
                </c:pt>
                <c:pt idx="236">
                  <c:v>262.5</c:v>
                </c:pt>
                <c:pt idx="237">
                  <c:v>272.5</c:v>
                </c:pt>
                <c:pt idx="238">
                  <c:v>272.5</c:v>
                </c:pt>
                <c:pt idx="239">
                  <c:v>272.5</c:v>
                </c:pt>
                <c:pt idx="240">
                  <c:v>272.5</c:v>
                </c:pt>
                <c:pt idx="241">
                  <c:v>287.5</c:v>
                </c:pt>
                <c:pt idx="242">
                  <c:v>287.5</c:v>
                </c:pt>
                <c:pt idx="243">
                  <c:v>292.5</c:v>
                </c:pt>
                <c:pt idx="244">
                  <c:v>292.5</c:v>
                </c:pt>
                <c:pt idx="245">
                  <c:v>287.5</c:v>
                </c:pt>
                <c:pt idx="246">
                  <c:v>287.5</c:v>
                </c:pt>
                <c:pt idx="247">
                  <c:v>287.5</c:v>
                </c:pt>
                <c:pt idx="248">
                  <c:v>287.5</c:v>
                </c:pt>
                <c:pt idx="249">
                  <c:v>272.5</c:v>
                </c:pt>
                <c:pt idx="250">
                  <c:v>272.5</c:v>
                </c:pt>
                <c:pt idx="251">
                  <c:v>272.5</c:v>
                </c:pt>
                <c:pt idx="252">
                  <c:v>272.5</c:v>
                </c:pt>
                <c:pt idx="253">
                  <c:v>287.5</c:v>
                </c:pt>
                <c:pt idx="254">
                  <c:v>287.5</c:v>
                </c:pt>
                <c:pt idx="255">
                  <c:v>282.5</c:v>
                </c:pt>
                <c:pt idx="256">
                  <c:v>312.5</c:v>
                </c:pt>
                <c:pt idx="257">
                  <c:v>307.5</c:v>
                </c:pt>
                <c:pt idx="258">
                  <c:v>307.5</c:v>
                </c:pt>
                <c:pt idx="259">
                  <c:v>350</c:v>
                </c:pt>
                <c:pt idx="260">
                  <c:v>350</c:v>
                </c:pt>
                <c:pt idx="261">
                  <c:v>350</c:v>
                </c:pt>
                <c:pt idx="262">
                  <c:v>350</c:v>
                </c:pt>
                <c:pt idx="263">
                  <c:v>330</c:v>
                </c:pt>
                <c:pt idx="264">
                  <c:v>332.5</c:v>
                </c:pt>
                <c:pt idx="265">
                  <c:v>340</c:v>
                </c:pt>
                <c:pt idx="266">
                  <c:v>340</c:v>
                </c:pt>
                <c:pt idx="267">
                  <c:v>340</c:v>
                </c:pt>
                <c:pt idx="268">
                  <c:v>340</c:v>
                </c:pt>
                <c:pt idx="269">
                  <c:v>337</c:v>
                </c:pt>
                <c:pt idx="270">
                  <c:v>337</c:v>
                </c:pt>
                <c:pt idx="271">
                  <c:v>347</c:v>
                </c:pt>
                <c:pt idx="272">
                  <c:v>347</c:v>
                </c:pt>
                <c:pt idx="273">
                  <c:v>347</c:v>
                </c:pt>
                <c:pt idx="274">
                  <c:v>347</c:v>
                </c:pt>
                <c:pt idx="275">
                  <c:v>347</c:v>
                </c:pt>
                <c:pt idx="276">
                  <c:v>347</c:v>
                </c:pt>
                <c:pt idx="277">
                  <c:v>347</c:v>
                </c:pt>
                <c:pt idx="278">
                  <c:v>347</c:v>
                </c:pt>
                <c:pt idx="279">
                  <c:v>327.5</c:v>
                </c:pt>
                <c:pt idx="280">
                  <c:v>327.5</c:v>
                </c:pt>
                <c:pt idx="281">
                  <c:v>319</c:v>
                </c:pt>
                <c:pt idx="282">
                  <c:v>297.5</c:v>
                </c:pt>
                <c:pt idx="283">
                  <c:v>265</c:v>
                </c:pt>
                <c:pt idx="284">
                  <c:v>265</c:v>
                </c:pt>
                <c:pt idx="285">
                  <c:v>252.5</c:v>
                </c:pt>
                <c:pt idx="286">
                  <c:v>252.5</c:v>
                </c:pt>
                <c:pt idx="287">
                  <c:v>262.5</c:v>
                </c:pt>
                <c:pt idx="288">
                  <c:v>262.5</c:v>
                </c:pt>
                <c:pt idx="289">
                  <c:v>257.5</c:v>
                </c:pt>
                <c:pt idx="290">
                  <c:v>257.5</c:v>
                </c:pt>
                <c:pt idx="291">
                  <c:v>250</c:v>
                </c:pt>
                <c:pt idx="292">
                  <c:v>240</c:v>
                </c:pt>
                <c:pt idx="293">
                  <c:v>242.5</c:v>
                </c:pt>
                <c:pt idx="294">
                  <c:v>255</c:v>
                </c:pt>
                <c:pt idx="295">
                  <c:v>265</c:v>
                </c:pt>
                <c:pt idx="296">
                  <c:v>282.5</c:v>
                </c:pt>
                <c:pt idx="297">
                  <c:v>312.5</c:v>
                </c:pt>
                <c:pt idx="298">
                  <c:v>307.5</c:v>
                </c:pt>
                <c:pt idx="299">
                  <c:v>307.5</c:v>
                </c:pt>
                <c:pt idx="300">
                  <c:v>347.5</c:v>
                </c:pt>
                <c:pt idx="301">
                  <c:v>342.5</c:v>
                </c:pt>
                <c:pt idx="302">
                  <c:v>342.5</c:v>
                </c:pt>
                <c:pt idx="303">
                  <c:v>342.5</c:v>
                </c:pt>
                <c:pt idx="304">
                  <c:v>282.5</c:v>
                </c:pt>
                <c:pt idx="305">
                  <c:v>288.5</c:v>
                </c:pt>
                <c:pt idx="306">
                  <c:v>272.5</c:v>
                </c:pt>
                <c:pt idx="307">
                  <c:v>272.5</c:v>
                </c:pt>
                <c:pt idx="308">
                  <c:v>267.5</c:v>
                </c:pt>
                <c:pt idx="309">
                  <c:v>250</c:v>
                </c:pt>
                <c:pt idx="310">
                  <c:v>250</c:v>
                </c:pt>
                <c:pt idx="311">
                  <c:v>272.5</c:v>
                </c:pt>
                <c:pt idx="312">
                  <c:v>272.5</c:v>
                </c:pt>
                <c:pt idx="313">
                  <c:v>277.5</c:v>
                </c:pt>
                <c:pt idx="314">
                  <c:v>292.5</c:v>
                </c:pt>
                <c:pt idx="315">
                  <c:v>307.5</c:v>
                </c:pt>
                <c:pt idx="316">
                  <c:v>307.5</c:v>
                </c:pt>
                <c:pt idx="317">
                  <c:v>307.5</c:v>
                </c:pt>
                <c:pt idx="318">
                  <c:v>307.5</c:v>
                </c:pt>
                <c:pt idx="319">
                  <c:v>307.5</c:v>
                </c:pt>
                <c:pt idx="320">
                  <c:v>295.5</c:v>
                </c:pt>
                <c:pt idx="321">
                  <c:v>282.5</c:v>
                </c:pt>
                <c:pt idx="322">
                  <c:v>282.5</c:v>
                </c:pt>
                <c:pt idx="323">
                  <c:v>292.5</c:v>
                </c:pt>
                <c:pt idx="324">
                  <c:v>292.5</c:v>
                </c:pt>
                <c:pt idx="325">
                  <c:v>297.5</c:v>
                </c:pt>
                <c:pt idx="326">
                  <c:v>297.5</c:v>
                </c:pt>
                <c:pt idx="327">
                  <c:v>297.5</c:v>
                </c:pt>
                <c:pt idx="328">
                  <c:v>297.5</c:v>
                </c:pt>
                <c:pt idx="329">
                  <c:v>292.5</c:v>
                </c:pt>
                <c:pt idx="330">
                  <c:v>292.5</c:v>
                </c:pt>
                <c:pt idx="331">
                  <c:v>290</c:v>
                </c:pt>
                <c:pt idx="332">
                  <c:v>282.5</c:v>
                </c:pt>
                <c:pt idx="333">
                  <c:v>295</c:v>
                </c:pt>
                <c:pt idx="334">
                  <c:v>300</c:v>
                </c:pt>
                <c:pt idx="335">
                  <c:v>310</c:v>
                </c:pt>
                <c:pt idx="336">
                  <c:v>312.5</c:v>
                </c:pt>
                <c:pt idx="337">
                  <c:v>277.5</c:v>
                </c:pt>
                <c:pt idx="338">
                  <c:v>277.5</c:v>
                </c:pt>
                <c:pt idx="339">
                  <c:v>282.5</c:v>
                </c:pt>
                <c:pt idx="340">
                  <c:v>302.5</c:v>
                </c:pt>
                <c:pt idx="341">
                  <c:v>302.5</c:v>
                </c:pt>
                <c:pt idx="342">
                  <c:v>317.5</c:v>
                </c:pt>
                <c:pt idx="343">
                  <c:v>332.5</c:v>
                </c:pt>
                <c:pt idx="344">
                  <c:v>332.5</c:v>
                </c:pt>
                <c:pt idx="345">
                  <c:v>332.5</c:v>
                </c:pt>
                <c:pt idx="346">
                  <c:v>327.5</c:v>
                </c:pt>
                <c:pt idx="347">
                  <c:v>327.5</c:v>
                </c:pt>
                <c:pt idx="348">
                  <c:v>312.5</c:v>
                </c:pt>
                <c:pt idx="349">
                  <c:v>300</c:v>
                </c:pt>
                <c:pt idx="350">
                  <c:v>300</c:v>
                </c:pt>
                <c:pt idx="351">
                  <c:v>297.5</c:v>
                </c:pt>
                <c:pt idx="352">
                  <c:v>295</c:v>
                </c:pt>
                <c:pt idx="353">
                  <c:v>295</c:v>
                </c:pt>
                <c:pt idx="354">
                  <c:v>270.5</c:v>
                </c:pt>
                <c:pt idx="355">
                  <c:v>267.5</c:v>
                </c:pt>
                <c:pt idx="356">
                  <c:v>267.5</c:v>
                </c:pt>
                <c:pt idx="357">
                  <c:v>267.5</c:v>
                </c:pt>
                <c:pt idx="358">
                  <c:v>235</c:v>
                </c:pt>
                <c:pt idx="359">
                  <c:v>237.5</c:v>
                </c:pt>
                <c:pt idx="360">
                  <c:v>240</c:v>
                </c:pt>
                <c:pt idx="361">
                  <c:v>237.5</c:v>
                </c:pt>
                <c:pt idx="362">
                  <c:v>240</c:v>
                </c:pt>
                <c:pt idx="363">
                  <c:v>240</c:v>
                </c:pt>
                <c:pt idx="364">
                  <c:v>240</c:v>
                </c:pt>
                <c:pt idx="365">
                  <c:v>240</c:v>
                </c:pt>
                <c:pt idx="366">
                  <c:v>240</c:v>
                </c:pt>
                <c:pt idx="367">
                  <c:v>237.5</c:v>
                </c:pt>
                <c:pt idx="368">
                  <c:v>237.5</c:v>
                </c:pt>
                <c:pt idx="369">
                  <c:v>232.5</c:v>
                </c:pt>
                <c:pt idx="370">
                  <c:v>227.5</c:v>
                </c:pt>
                <c:pt idx="371">
                  <c:v>212.5</c:v>
                </c:pt>
                <c:pt idx="372">
                  <c:v>212.5</c:v>
                </c:pt>
                <c:pt idx="373">
                  <c:v>212.5</c:v>
                </c:pt>
                <c:pt idx="374">
                  <c:v>212.5</c:v>
                </c:pt>
                <c:pt idx="375">
                  <c:v>212.5</c:v>
                </c:pt>
                <c:pt idx="376">
                  <c:v>212.5</c:v>
                </c:pt>
                <c:pt idx="377">
                  <c:v>212.5</c:v>
                </c:pt>
                <c:pt idx="378">
                  <c:v>213.5</c:v>
                </c:pt>
                <c:pt idx="379">
                  <c:v>213.5</c:v>
                </c:pt>
                <c:pt idx="380">
                  <c:v>216.75</c:v>
                </c:pt>
                <c:pt idx="381">
                  <c:v>214.5</c:v>
                </c:pt>
                <c:pt idx="382">
                  <c:v>214.5</c:v>
                </c:pt>
                <c:pt idx="383">
                  <c:v>214.5</c:v>
                </c:pt>
                <c:pt idx="384">
                  <c:v>214</c:v>
                </c:pt>
                <c:pt idx="385">
                  <c:v>214</c:v>
                </c:pt>
                <c:pt idx="386">
                  <c:v>235</c:v>
                </c:pt>
                <c:pt idx="387">
                  <c:v>235</c:v>
                </c:pt>
                <c:pt idx="388" formatCode="0.0">
                  <c:v>252.5</c:v>
                </c:pt>
                <c:pt idx="389" formatCode="0.0">
                  <c:v>252.5</c:v>
                </c:pt>
                <c:pt idx="390" formatCode="0.0">
                  <c:v>263</c:v>
                </c:pt>
                <c:pt idx="391" formatCode="0.0">
                  <c:v>263</c:v>
                </c:pt>
                <c:pt idx="392" formatCode="0.0">
                  <c:v>282</c:v>
                </c:pt>
                <c:pt idx="393" formatCode="0.0">
                  <c:v>282</c:v>
                </c:pt>
                <c:pt idx="394" formatCode="0.0">
                  <c:v>282.5</c:v>
                </c:pt>
                <c:pt idx="395" formatCode="0.0">
                  <c:v>282.5</c:v>
                </c:pt>
                <c:pt idx="396" formatCode="0.0">
                  <c:v>282.5</c:v>
                </c:pt>
                <c:pt idx="397" formatCode="0.0">
                  <c:v>280</c:v>
                </c:pt>
                <c:pt idx="398" formatCode="0.0">
                  <c:v>280</c:v>
                </c:pt>
                <c:pt idx="399" formatCode="0.0">
                  <c:v>272.5</c:v>
                </c:pt>
                <c:pt idx="400" formatCode="0.0">
                  <c:v>267.5</c:v>
                </c:pt>
                <c:pt idx="401" formatCode="0.0">
                  <c:v>267.5</c:v>
                </c:pt>
                <c:pt idx="402" formatCode="0.0">
                  <c:v>267.5</c:v>
                </c:pt>
                <c:pt idx="403" formatCode="0.0">
                  <c:v>267.5</c:v>
                </c:pt>
                <c:pt idx="404" formatCode="0.0">
                  <c:v>245</c:v>
                </c:pt>
                <c:pt idx="405" formatCode="0.0">
                  <c:v>250</c:v>
                </c:pt>
                <c:pt idx="406" formatCode="0.0">
                  <c:v>250</c:v>
                </c:pt>
                <c:pt idx="407" formatCode="0.0">
                  <c:v>237.5</c:v>
                </c:pt>
                <c:pt idx="408" formatCode="0.0">
                  <c:v>230</c:v>
                </c:pt>
                <c:pt idx="409" formatCode="0.0">
                  <c:v>230</c:v>
                </c:pt>
                <c:pt idx="410" formatCode="0.0">
                  <c:v>202.5</c:v>
                </c:pt>
                <c:pt idx="411" formatCode="0.0">
                  <c:v>217.5</c:v>
                </c:pt>
                <c:pt idx="412" formatCode="0.0">
                  <c:v>218.5</c:v>
                </c:pt>
                <c:pt idx="413" formatCode="0.0">
                  <c:v>218.5</c:v>
                </c:pt>
                <c:pt idx="414">
                  <c:v>218.5</c:v>
                </c:pt>
                <c:pt idx="415">
                  <c:v>218.5</c:v>
                </c:pt>
                <c:pt idx="416">
                  <c:v>223.5</c:v>
                </c:pt>
                <c:pt idx="417">
                  <c:v>227.5</c:v>
                </c:pt>
                <c:pt idx="418">
                  <c:v>228.5</c:v>
                </c:pt>
                <c:pt idx="419">
                  <c:v>228.5</c:v>
                </c:pt>
                <c:pt idx="420">
                  <c:v>228.5</c:v>
                </c:pt>
                <c:pt idx="421">
                  <c:v>219</c:v>
                </c:pt>
                <c:pt idx="422">
                  <c:v>226</c:v>
                </c:pt>
                <c:pt idx="423">
                  <c:v>226</c:v>
                </c:pt>
                <c:pt idx="424">
                  <c:v>226</c:v>
                </c:pt>
                <c:pt idx="425">
                  <c:v>232.5</c:v>
                </c:pt>
                <c:pt idx="426">
                  <c:v>232.5</c:v>
                </c:pt>
                <c:pt idx="427">
                  <c:v>232.5</c:v>
                </c:pt>
                <c:pt idx="428">
                  <c:v>232.5</c:v>
                </c:pt>
                <c:pt idx="429">
                  <c:v>233</c:v>
                </c:pt>
                <c:pt idx="430">
                  <c:v>221.5</c:v>
                </c:pt>
                <c:pt idx="431">
                  <c:v>227.5</c:v>
                </c:pt>
                <c:pt idx="432">
                  <c:v>227.5</c:v>
                </c:pt>
                <c:pt idx="433">
                  <c:v>227.5</c:v>
                </c:pt>
                <c:pt idx="434">
                  <c:v>233.5</c:v>
                </c:pt>
                <c:pt idx="435">
                  <c:v>233.5</c:v>
                </c:pt>
                <c:pt idx="436">
                  <c:v>233.5</c:v>
                </c:pt>
                <c:pt idx="437">
                  <c:v>241</c:v>
                </c:pt>
                <c:pt idx="438">
                  <c:v>248.5</c:v>
                </c:pt>
                <c:pt idx="439">
                  <c:v>252.5</c:v>
                </c:pt>
                <c:pt idx="440">
                  <c:v>252.5</c:v>
                </c:pt>
                <c:pt idx="441">
                  <c:v>257</c:v>
                </c:pt>
                <c:pt idx="442">
                  <c:v>257</c:v>
                </c:pt>
                <c:pt idx="443">
                  <c:v>257</c:v>
                </c:pt>
                <c:pt idx="444">
                  <c:v>257</c:v>
                </c:pt>
                <c:pt idx="445">
                  <c:v>257</c:v>
                </c:pt>
                <c:pt idx="446">
                  <c:v>250.5</c:v>
                </c:pt>
                <c:pt idx="447">
                  <c:v>249</c:v>
                </c:pt>
                <c:pt idx="448">
                  <c:v>249</c:v>
                </c:pt>
                <c:pt idx="449">
                  <c:v>245</c:v>
                </c:pt>
                <c:pt idx="450">
                  <c:v>245</c:v>
                </c:pt>
                <c:pt idx="451">
                  <c:v>234.5</c:v>
                </c:pt>
                <c:pt idx="452">
                  <c:v>228</c:v>
                </c:pt>
                <c:pt idx="453">
                  <c:v>228</c:v>
                </c:pt>
                <c:pt idx="454">
                  <c:v>212.5</c:v>
                </c:pt>
                <c:pt idx="455">
                  <c:v>202.5</c:v>
                </c:pt>
                <c:pt idx="456">
                  <c:v>191</c:v>
                </c:pt>
                <c:pt idx="457">
                  <c:v>207</c:v>
                </c:pt>
                <c:pt idx="458">
                  <c:v>200.5</c:v>
                </c:pt>
                <c:pt idx="459">
                  <c:v>180</c:v>
                </c:pt>
                <c:pt idx="460">
                  <c:v>182.5</c:v>
                </c:pt>
                <c:pt idx="461">
                  <c:v>182.5</c:v>
                </c:pt>
                <c:pt idx="462">
                  <c:v>182.5</c:v>
                </c:pt>
                <c:pt idx="463">
                  <c:v>192.5</c:v>
                </c:pt>
                <c:pt idx="464">
                  <c:v>192.5</c:v>
                </c:pt>
                <c:pt idx="465">
                  <c:v>192.5</c:v>
                </c:pt>
                <c:pt idx="466">
                  <c:v>192.5</c:v>
                </c:pt>
                <c:pt idx="467">
                  <c:v>192.5</c:v>
                </c:pt>
                <c:pt idx="468">
                  <c:v>187.5</c:v>
                </c:pt>
                <c:pt idx="469">
                  <c:v>187.5</c:v>
                </c:pt>
                <c:pt idx="470">
                  <c:v>182.5</c:v>
                </c:pt>
                <c:pt idx="471">
                  <c:v>177.5</c:v>
                </c:pt>
                <c:pt idx="472">
                  <c:v>180</c:v>
                </c:pt>
                <c:pt idx="473">
                  <c:v>179</c:v>
                </c:pt>
                <c:pt idx="474">
                  <c:v>175</c:v>
                </c:pt>
                <c:pt idx="475">
                  <c:v>175</c:v>
                </c:pt>
                <c:pt idx="476">
                  <c:v>181</c:v>
                </c:pt>
                <c:pt idx="477">
                  <c:v>178.5</c:v>
                </c:pt>
                <c:pt idx="478">
                  <c:v>172.5</c:v>
                </c:pt>
                <c:pt idx="479">
                  <c:v>171</c:v>
                </c:pt>
                <c:pt idx="480">
                  <c:v>166</c:v>
                </c:pt>
                <c:pt idx="481">
                  <c:v>166</c:v>
                </c:pt>
                <c:pt idx="482">
                  <c:v>166</c:v>
                </c:pt>
                <c:pt idx="483">
                  <c:v>166</c:v>
                </c:pt>
                <c:pt idx="484">
                  <c:v>164.5</c:v>
                </c:pt>
                <c:pt idx="485">
                  <c:v>158.5</c:v>
                </c:pt>
                <c:pt idx="486">
                  <c:v>158.5</c:v>
                </c:pt>
                <c:pt idx="487">
                  <c:v>158.5</c:v>
                </c:pt>
                <c:pt idx="488">
                  <c:v>158.5</c:v>
                </c:pt>
                <c:pt idx="489">
                  <c:v>156</c:v>
                </c:pt>
                <c:pt idx="490">
                  <c:v>147</c:v>
                </c:pt>
                <c:pt idx="491">
                  <c:v>146</c:v>
                </c:pt>
                <c:pt idx="492">
                  <c:v>141.5</c:v>
                </c:pt>
                <c:pt idx="493">
                  <c:v>141.5</c:v>
                </c:pt>
                <c:pt idx="494">
                  <c:v>131</c:v>
                </c:pt>
                <c:pt idx="495">
                  <c:v>130.5</c:v>
                </c:pt>
                <c:pt idx="496">
                  <c:v>127</c:v>
                </c:pt>
                <c:pt idx="497">
                  <c:v>133.5</c:v>
                </c:pt>
                <c:pt idx="498">
                  <c:v>151</c:v>
                </c:pt>
                <c:pt idx="499">
                  <c:v>158.5</c:v>
                </c:pt>
                <c:pt idx="500">
                  <c:v>171.5</c:v>
                </c:pt>
                <c:pt idx="501">
                  <c:v>181</c:v>
                </c:pt>
                <c:pt idx="502">
                  <c:v>184.5</c:v>
                </c:pt>
                <c:pt idx="503">
                  <c:v>183.5</c:v>
                </c:pt>
                <c:pt idx="504">
                  <c:v>183.5</c:v>
                </c:pt>
                <c:pt idx="505">
                  <c:v>173.5</c:v>
                </c:pt>
                <c:pt idx="506">
                  <c:v>173.5</c:v>
                </c:pt>
                <c:pt idx="507">
                  <c:v>160.5</c:v>
                </c:pt>
                <c:pt idx="508">
                  <c:v>160.5</c:v>
                </c:pt>
                <c:pt idx="509">
                  <c:v>174</c:v>
                </c:pt>
                <c:pt idx="510">
                  <c:v>123</c:v>
                </c:pt>
                <c:pt idx="511">
                  <c:v>117.5</c:v>
                </c:pt>
                <c:pt idx="512">
                  <c:v>117.5</c:v>
                </c:pt>
                <c:pt idx="513">
                  <c:v>117.5</c:v>
                </c:pt>
                <c:pt idx="514">
                  <c:v>117.5</c:v>
                </c:pt>
                <c:pt idx="515">
                  <c:v>117.5</c:v>
                </c:pt>
                <c:pt idx="516">
                  <c:v>117.5</c:v>
                </c:pt>
                <c:pt idx="517">
                  <c:v>120.5</c:v>
                </c:pt>
                <c:pt idx="518">
                  <c:v>120</c:v>
                </c:pt>
                <c:pt idx="519">
                  <c:v>124.5</c:v>
                </c:pt>
                <c:pt idx="520">
                  <c:v>124.5</c:v>
                </c:pt>
                <c:pt idx="521">
                  <c:v>131.5</c:v>
                </c:pt>
                <c:pt idx="522">
                  <c:v>130</c:v>
                </c:pt>
                <c:pt idx="523">
                  <c:v>130</c:v>
                </c:pt>
                <c:pt idx="524">
                  <c:v>130</c:v>
                </c:pt>
                <c:pt idx="525">
                  <c:v>130</c:v>
                </c:pt>
                <c:pt idx="526">
                  <c:v>127.5</c:v>
                </c:pt>
                <c:pt idx="527">
                  <c:v>127</c:v>
                </c:pt>
                <c:pt idx="528">
                  <c:v>124.5</c:v>
                </c:pt>
                <c:pt idx="529">
                  <c:v>124.5</c:v>
                </c:pt>
                <c:pt idx="530">
                  <c:v>122.5</c:v>
                </c:pt>
                <c:pt idx="531">
                  <c:v>122.5</c:v>
                </c:pt>
                <c:pt idx="532">
                  <c:v>125</c:v>
                </c:pt>
                <c:pt idx="533">
                  <c:v>121.5</c:v>
                </c:pt>
                <c:pt idx="534">
                  <c:v>127.5</c:v>
                </c:pt>
                <c:pt idx="535">
                  <c:v>129</c:v>
                </c:pt>
                <c:pt idx="536">
                  <c:v>135.5</c:v>
                </c:pt>
                <c:pt idx="537">
                  <c:v>137.5</c:v>
                </c:pt>
                <c:pt idx="538">
                  <c:v>141</c:v>
                </c:pt>
                <c:pt idx="539">
                  <c:v>142</c:v>
                </c:pt>
                <c:pt idx="540">
                  <c:v>144</c:v>
                </c:pt>
                <c:pt idx="541">
                  <c:v>149</c:v>
                </c:pt>
                <c:pt idx="542">
                  <c:v>147.5</c:v>
                </c:pt>
                <c:pt idx="543">
                  <c:v>151.5</c:v>
                </c:pt>
                <c:pt idx="544">
                  <c:v>151.5</c:v>
                </c:pt>
                <c:pt idx="545">
                  <c:v>151.5</c:v>
                </c:pt>
                <c:pt idx="546">
                  <c:v>150</c:v>
                </c:pt>
                <c:pt idx="547">
                  <c:v>167.5</c:v>
                </c:pt>
                <c:pt idx="548">
                  <c:v>165.5</c:v>
                </c:pt>
                <c:pt idx="549">
                  <c:v>171.5</c:v>
                </c:pt>
                <c:pt idx="550">
                  <c:v>157</c:v>
                </c:pt>
                <c:pt idx="551">
                  <c:v>157</c:v>
                </c:pt>
              </c:numCache>
            </c:numRef>
          </c:yVal>
          <c:smooth val="0"/>
        </c:ser>
        <c:dLbls>
          <c:showLegendKey val="0"/>
          <c:showVal val="0"/>
          <c:showCatName val="0"/>
          <c:showSerName val="0"/>
          <c:showPercent val="0"/>
          <c:showBubbleSize val="0"/>
        </c:dLbls>
        <c:axId val="536181768"/>
        <c:axId val="536176672"/>
      </c:scatterChart>
      <c:valAx>
        <c:axId val="536181768"/>
        <c:scaling>
          <c:orientation val="minMax"/>
          <c:min val="200"/>
        </c:scaling>
        <c:delete val="0"/>
        <c:axPos val="b"/>
        <c:numFmt formatCode="_-* #\ ##0_-;\-* #\ ##0_-;_-* &quot;-&quot;??_-;_-@_-" sourceLinked="1"/>
        <c:majorTickMark val="out"/>
        <c:minorTickMark val="none"/>
        <c:tickLblPos val="nextTo"/>
        <c:crossAx val="536176672"/>
        <c:crosses val="autoZero"/>
        <c:crossBetween val="midCat"/>
      </c:valAx>
      <c:valAx>
        <c:axId val="536176672"/>
        <c:scaling>
          <c:orientation val="minMax"/>
          <c:min val="100"/>
        </c:scaling>
        <c:delete val="0"/>
        <c:axPos val="l"/>
        <c:numFmt formatCode="General" sourceLinked="1"/>
        <c:majorTickMark val="out"/>
        <c:minorTickMark val="none"/>
        <c:tickLblPos val="nextTo"/>
        <c:crossAx val="536181768"/>
        <c:crosses val="autoZero"/>
        <c:crossBetween val="midCat"/>
      </c:valAx>
    </c:plotArea>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Динамика </a:t>
            </a:r>
            <a:r>
              <a:rPr lang="en-US"/>
              <a:t>EBIT </a:t>
            </a:r>
            <a:r>
              <a:rPr lang="ru-RU"/>
              <a:t>маржи Акрона</a:t>
            </a:r>
          </a:p>
        </c:rich>
      </c:tx>
      <c:layout>
        <c:manualLayout>
          <c:xMode val="edge"/>
          <c:yMode val="edge"/>
          <c:x val="0.3004449486096239"/>
          <c:y val="2.7311986347986351E-2"/>
        </c:manualLayout>
      </c:layout>
      <c:overlay val="0"/>
    </c:title>
    <c:autoTitleDeleted val="0"/>
    <c:plotArea>
      <c:layout>
        <c:manualLayout>
          <c:layoutTarget val="inner"/>
          <c:xMode val="edge"/>
          <c:yMode val="edge"/>
          <c:x val="9.1849552015364933E-2"/>
          <c:y val="0.28245929711802842"/>
          <c:w val="0.75553201436108797"/>
          <c:h val="0.63784593036485304"/>
        </c:manualLayout>
      </c:layout>
      <c:lineChart>
        <c:grouping val="standard"/>
        <c:varyColors val="0"/>
        <c:ser>
          <c:idx val="0"/>
          <c:order val="0"/>
          <c:tx>
            <c:strRef>
              <c:f>'model (2)'!$A$174</c:f>
              <c:strCache>
                <c:ptCount val="1"/>
                <c:pt idx="0">
                  <c:v>EBIT margin - текущий базовый сценарий</c:v>
                </c:pt>
              </c:strCache>
            </c:strRef>
          </c:tx>
          <c:marker>
            <c:symbol val="none"/>
          </c:marker>
          <c:cat>
            <c:numRef>
              <c:f>'model (2)'!$B$1:$M$1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 (2)'!$B$174:$M$174</c:f>
              <c:numCache>
                <c:formatCode>0%</c:formatCode>
                <c:ptCount val="12"/>
                <c:pt idx="0">
                  <c:v>0.14297800338409475</c:v>
                </c:pt>
                <c:pt idx="1">
                  <c:v>0.19755472647997482</c:v>
                </c:pt>
                <c:pt idx="2">
                  <c:v>0.29020458576133767</c:v>
                </c:pt>
                <c:pt idx="3">
                  <c:v>0.26651158086376059</c:v>
                </c:pt>
                <c:pt idx="4">
                  <c:v>0.1978495275936851</c:v>
                </c:pt>
                <c:pt idx="5">
                  <c:v>0.23319063208259874</c:v>
                </c:pt>
                <c:pt idx="6">
                  <c:v>0.35509035640856634</c:v>
                </c:pt>
                <c:pt idx="7">
                  <c:v>0.30921934832439196</c:v>
                </c:pt>
                <c:pt idx="8">
                  <c:v>0.30461133309485539</c:v>
                </c:pt>
                <c:pt idx="9">
                  <c:v>0.30120545698806428</c:v>
                </c:pt>
                <c:pt idx="10">
                  <c:v>0.308076490601839</c:v>
                </c:pt>
                <c:pt idx="11">
                  <c:v>0.31647462868865511</c:v>
                </c:pt>
              </c:numCache>
            </c:numRef>
          </c:val>
          <c:smooth val="0"/>
        </c:ser>
        <c:ser>
          <c:idx val="1"/>
          <c:order val="1"/>
          <c:tx>
            <c:strRef>
              <c:f>'model (2)'!$A$177</c:f>
              <c:strCache>
                <c:ptCount val="1"/>
                <c:pt idx="0">
                  <c:v>EBIT margin без учета пуска ГОК "Олений Ручей" и "Аммиак-4"</c:v>
                </c:pt>
              </c:strCache>
            </c:strRef>
          </c:tx>
          <c:spPr>
            <a:ln>
              <a:prstDash val="dash"/>
            </a:ln>
          </c:spPr>
          <c:marker>
            <c:symbol val="none"/>
          </c:marker>
          <c:cat>
            <c:numRef>
              <c:f>'model (2)'!$B$1:$M$1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 (2)'!$B$177:$M$177</c:f>
              <c:numCache>
                <c:formatCode>General</c:formatCode>
                <c:ptCount val="12"/>
                <c:pt idx="6" formatCode="0%">
                  <c:v>0.35509035640856634</c:v>
                </c:pt>
                <c:pt idx="7" formatCode="0%">
                  <c:v>0.3</c:v>
                </c:pt>
                <c:pt idx="8" formatCode="0%">
                  <c:v>0.28000000000000003</c:v>
                </c:pt>
                <c:pt idx="9" formatCode="0%">
                  <c:v>0.26</c:v>
                </c:pt>
                <c:pt idx="10" formatCode="0%">
                  <c:v>0.27</c:v>
                </c:pt>
                <c:pt idx="11" formatCode="0%">
                  <c:v>0.28000000000000003</c:v>
                </c:pt>
              </c:numCache>
            </c:numRef>
          </c:val>
          <c:smooth val="0"/>
        </c:ser>
        <c:ser>
          <c:idx val="3"/>
          <c:order val="2"/>
          <c:tx>
            <c:strRef>
              <c:f>'model (2)'!$A$179</c:f>
              <c:strCache>
                <c:ptCount val="1"/>
                <c:pt idx="0">
                  <c:v>EBIT margin без учета эффекта девальвации рубля</c:v>
                </c:pt>
              </c:strCache>
            </c:strRef>
          </c:tx>
          <c:spPr>
            <a:ln>
              <a:prstDash val="sysDot"/>
            </a:ln>
          </c:spPr>
          <c:marker>
            <c:symbol val="none"/>
          </c:marker>
          <c:cat>
            <c:numRef>
              <c:f>'model (2)'!$B$1:$M$1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 (2)'!$B$179:$M$179</c:f>
              <c:numCache>
                <c:formatCode>General</c:formatCode>
                <c:ptCount val="12"/>
                <c:pt idx="5" formatCode="0%">
                  <c:v>0.23319063208259874</c:v>
                </c:pt>
                <c:pt idx="6" formatCode="0%">
                  <c:v>0.20445043432067914</c:v>
                </c:pt>
                <c:pt idx="7" formatCode="0%">
                  <c:v>0.17011690960945361</c:v>
                </c:pt>
                <c:pt idx="8" formatCode="0%">
                  <c:v>0.18147797651300196</c:v>
                </c:pt>
                <c:pt idx="9" formatCode="0%">
                  <c:v>0.18614408396129442</c:v>
                </c:pt>
                <c:pt idx="10" formatCode="0%">
                  <c:v>0.17753637577735326</c:v>
                </c:pt>
                <c:pt idx="11" formatCode="0%">
                  <c:v>0.17220376353968991</c:v>
                </c:pt>
              </c:numCache>
            </c:numRef>
          </c:val>
          <c:smooth val="0"/>
        </c:ser>
        <c:ser>
          <c:idx val="2"/>
          <c:order val="3"/>
          <c:tx>
            <c:strRef>
              <c:f>'model (2)'!$A$175</c:f>
              <c:strCache>
                <c:ptCount val="1"/>
                <c:pt idx="0">
                  <c:v>Среднее 2010-2015</c:v>
                </c:pt>
              </c:strCache>
            </c:strRef>
          </c:tx>
          <c:spPr>
            <a:ln>
              <a:prstDash val="sysDash"/>
            </a:ln>
          </c:spPr>
          <c:marker>
            <c:symbol val="none"/>
          </c:marker>
          <c:cat>
            <c:numRef>
              <c:f>'model (2)'!$B$1:$M$1</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'model (2)'!$B$175:$M$175</c:f>
              <c:numCache>
                <c:formatCode>0%</c:formatCode>
                <c:ptCount val="12"/>
                <c:pt idx="0">
                  <c:v>0.24048277322485972</c:v>
                </c:pt>
                <c:pt idx="1">
                  <c:v>0.24048277322485972</c:v>
                </c:pt>
                <c:pt idx="2">
                  <c:v>0.24048277322485972</c:v>
                </c:pt>
                <c:pt idx="3">
                  <c:v>0.24048277322485972</c:v>
                </c:pt>
                <c:pt idx="4">
                  <c:v>0.24048277322485972</c:v>
                </c:pt>
                <c:pt idx="5">
                  <c:v>0.24048277322485972</c:v>
                </c:pt>
                <c:pt idx="6">
                  <c:v>0.24048277322485972</c:v>
                </c:pt>
                <c:pt idx="7">
                  <c:v>0.24048277322485972</c:v>
                </c:pt>
                <c:pt idx="8">
                  <c:v>0.24048277322485972</c:v>
                </c:pt>
                <c:pt idx="9">
                  <c:v>0.24048277322485972</c:v>
                </c:pt>
                <c:pt idx="10">
                  <c:v>0.24048277322485972</c:v>
                </c:pt>
                <c:pt idx="11">
                  <c:v>0.24048277322485972</c:v>
                </c:pt>
              </c:numCache>
            </c:numRef>
          </c:val>
          <c:smooth val="0"/>
        </c:ser>
        <c:dLbls>
          <c:showLegendKey val="0"/>
          <c:showVal val="0"/>
          <c:showCatName val="0"/>
          <c:showSerName val="0"/>
          <c:showPercent val="0"/>
          <c:showBubbleSize val="0"/>
        </c:dLbls>
        <c:smooth val="0"/>
        <c:axId val="536180592"/>
        <c:axId val="536182160"/>
      </c:lineChart>
      <c:catAx>
        <c:axId val="536180592"/>
        <c:scaling>
          <c:orientation val="minMax"/>
        </c:scaling>
        <c:delete val="0"/>
        <c:axPos val="b"/>
        <c:numFmt formatCode="General" sourceLinked="1"/>
        <c:majorTickMark val="out"/>
        <c:minorTickMark val="none"/>
        <c:tickLblPos val="nextTo"/>
        <c:crossAx val="536182160"/>
        <c:crosses val="autoZero"/>
        <c:auto val="1"/>
        <c:lblAlgn val="ctr"/>
        <c:lblOffset val="100"/>
        <c:noMultiLvlLbl val="0"/>
      </c:catAx>
      <c:valAx>
        <c:axId val="536182160"/>
        <c:scaling>
          <c:orientation val="minMax"/>
          <c:min val="0.1"/>
        </c:scaling>
        <c:delete val="0"/>
        <c:axPos val="l"/>
        <c:numFmt formatCode="0%" sourceLinked="1"/>
        <c:majorTickMark val="out"/>
        <c:minorTickMark val="none"/>
        <c:tickLblPos val="nextTo"/>
        <c:crossAx val="536180592"/>
        <c:crosses val="autoZero"/>
        <c:crossBetween val="between"/>
      </c:valAx>
    </c:plotArea>
    <c:legend>
      <c:legendPos val="r"/>
      <c:layout>
        <c:manualLayout>
          <c:xMode val="edge"/>
          <c:yMode val="edge"/>
          <c:x val="0.19872045960679827"/>
          <c:y val="0.12151610493128381"/>
          <c:w val="0.53459204495760815"/>
          <c:h val="0.1478887194359769"/>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357188</xdr:colOff>
      <xdr:row>148</xdr:row>
      <xdr:rowOff>130968</xdr:rowOff>
    </xdr:from>
    <xdr:to>
      <xdr:col>16</xdr:col>
      <xdr:colOff>738188</xdr:colOff>
      <xdr:row>168</xdr:row>
      <xdr:rowOff>45243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357188</xdr:colOff>
      <xdr:row>169</xdr:row>
      <xdr:rowOff>98821</xdr:rowOff>
    </xdr:from>
    <xdr:to>
      <xdr:col>13</xdr:col>
      <xdr:colOff>166688</xdr:colOff>
      <xdr:row>189</xdr:row>
      <xdr:rowOff>130968</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726281</xdr:colOff>
      <xdr:row>182</xdr:row>
      <xdr:rowOff>107155</xdr:rowOff>
    </xdr:from>
    <xdr:to>
      <xdr:col>15</xdr:col>
      <xdr:colOff>1643062</xdr:colOff>
      <xdr:row>199</xdr:row>
      <xdr:rowOff>119061</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201</xdr:row>
      <xdr:rowOff>0</xdr:rowOff>
    </xdr:from>
    <xdr:to>
      <xdr:col>15</xdr:col>
      <xdr:colOff>1678781</xdr:colOff>
      <xdr:row>219</xdr:row>
      <xdr:rowOff>59531</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190500</xdr:colOff>
      <xdr:row>133</xdr:row>
      <xdr:rowOff>66000</xdr:rowOff>
    </xdr:from>
    <xdr:to>
      <xdr:col>28</xdr:col>
      <xdr:colOff>46302</xdr:colOff>
      <xdr:row>145</xdr:row>
      <xdr:rowOff>51157</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35325" y="22259250"/>
          <a:ext cx="4124325" cy="2385458"/>
        </a:xfrm>
        <a:prstGeom prst="rect">
          <a:avLst/>
        </a:prstGeom>
        <a:ln>
          <a:solidFill>
            <a:schemeClr val="accent1"/>
          </a:solidFill>
        </a:ln>
        <a:effectLst>
          <a:outerShdw blurRad="50800" dist="38100" dir="2700000" algn="tl" rotWithShape="0">
            <a:prstClr val="black">
              <a:alpha val="40000"/>
            </a:prstClr>
          </a:outerShdw>
        </a:effectLst>
      </xdr:spPr>
    </xdr:pic>
    <xdr:clientData/>
  </xdr:twoCellAnchor>
  <xdr:twoCellAnchor editAs="oneCell">
    <xdr:from>
      <xdr:col>23</xdr:col>
      <xdr:colOff>0</xdr:colOff>
      <xdr:row>147</xdr:row>
      <xdr:rowOff>0</xdr:rowOff>
    </xdr:from>
    <xdr:to>
      <xdr:col>30</xdr:col>
      <xdr:colOff>587936</xdr:colOff>
      <xdr:row>168</xdr:row>
      <xdr:rowOff>42857</xdr:rowOff>
    </xdr:to>
    <xdr:pic>
      <xdr:nvPicPr>
        <xdr:cNvPr id="5" name="Рисунок 4"/>
        <xdr:cNvPicPr>
          <a:picLocks noChangeAspect="1"/>
        </xdr:cNvPicPr>
      </xdr:nvPicPr>
      <xdr:blipFill>
        <a:blip xmlns:r="http://schemas.openxmlformats.org/officeDocument/2006/relationships" r:embed="rId4"/>
        <a:stretch>
          <a:fillRect/>
        </a:stretch>
      </xdr:blipFill>
      <xdr:spPr>
        <a:xfrm>
          <a:off x="17272000" y="25325917"/>
          <a:ext cx="6095239" cy="4276191"/>
        </a:xfrm>
        <a:prstGeom prst="rect">
          <a:avLst/>
        </a:prstGeom>
      </xdr:spPr>
    </xdr:pic>
    <xdr:clientData/>
  </xdr:twoCellAnchor>
  <xdr:twoCellAnchor>
    <xdr:from>
      <xdr:col>15</xdr:col>
      <xdr:colOff>2069039</xdr:colOff>
      <xdr:row>182</xdr:row>
      <xdr:rowOff>52917</xdr:rowOff>
    </xdr:from>
    <xdr:to>
      <xdr:col>23</xdr:col>
      <xdr:colOff>719667</xdr:colOff>
      <xdr:row>206</xdr:row>
      <xdr:rowOff>95250</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182</xdr:row>
      <xdr:rowOff>0</xdr:rowOff>
    </xdr:from>
    <xdr:to>
      <xdr:col>40</xdr:col>
      <xdr:colOff>260614</xdr:colOff>
      <xdr:row>199</xdr:row>
      <xdr:rowOff>11906</xdr:rowOff>
    </xdr:to>
    <xdr:graphicFrame macro="">
      <xdr:nvGraphicFramePr>
        <xdr:cNvPr id="7" name="Диаграмма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0.82666</cdr:x>
      <cdr:y>0.45356</cdr:y>
    </cdr:from>
    <cdr:to>
      <cdr:x>0.84483</cdr:x>
      <cdr:y>0.53564</cdr:y>
    </cdr:to>
    <cdr:sp macro="" textlink="">
      <cdr:nvSpPr>
        <cdr:cNvPr id="2" name="Правая фигурная скобка 1"/>
        <cdr:cNvSpPr/>
      </cdr:nvSpPr>
      <cdr:spPr>
        <a:xfrm xmlns:a="http://schemas.openxmlformats.org/drawingml/2006/main">
          <a:off x="5936093" y="2222500"/>
          <a:ext cx="130452" cy="402167"/>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ru-RU"/>
        </a:p>
      </cdr:txBody>
    </cdr:sp>
  </cdr:relSizeAnchor>
  <cdr:relSizeAnchor xmlns:cdr="http://schemas.openxmlformats.org/drawingml/2006/chartDrawing">
    <cdr:from>
      <cdr:x>0.82501</cdr:x>
      <cdr:y>0.5486</cdr:y>
    </cdr:from>
    <cdr:to>
      <cdr:x>0.84648</cdr:x>
      <cdr:y>0.75162</cdr:y>
    </cdr:to>
    <cdr:sp macro="" textlink="">
      <cdr:nvSpPr>
        <cdr:cNvPr id="3" name="Правая фигурная скобка 2"/>
        <cdr:cNvSpPr/>
      </cdr:nvSpPr>
      <cdr:spPr>
        <a:xfrm xmlns:a="http://schemas.openxmlformats.org/drawingml/2006/main">
          <a:off x="5924234" y="2688167"/>
          <a:ext cx="154170" cy="99483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ru-RU"/>
        </a:p>
      </cdr:txBody>
    </cdr:sp>
  </cdr:relSizeAnchor>
  <cdr:relSizeAnchor xmlns:cdr="http://schemas.openxmlformats.org/drawingml/2006/chartDrawing">
    <cdr:from>
      <cdr:x>0.85556</cdr:x>
      <cdr:y>0.41685</cdr:y>
    </cdr:from>
    <cdr:to>
      <cdr:x>0.98821</cdr:x>
      <cdr:y>0.54428</cdr:y>
    </cdr:to>
    <cdr:sp macro="" textlink="">
      <cdr:nvSpPr>
        <cdr:cNvPr id="4" name="TextBox 3"/>
        <cdr:cNvSpPr txBox="1"/>
      </cdr:nvSpPr>
      <cdr:spPr>
        <a:xfrm xmlns:a="http://schemas.openxmlformats.org/drawingml/2006/main">
          <a:off x="6659747" y="2042583"/>
          <a:ext cx="1032518" cy="6244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ru-RU" sz="1100"/>
            <a:t>эффект</a:t>
          </a:r>
          <a:r>
            <a:rPr lang="ru-RU" sz="1100" baseline="0"/>
            <a:t> вертикальной интеграции</a:t>
          </a:r>
          <a:endParaRPr lang="ru-RU" sz="1100"/>
        </a:p>
      </cdr:txBody>
    </cdr:sp>
  </cdr:relSizeAnchor>
  <cdr:relSizeAnchor xmlns:cdr="http://schemas.openxmlformats.org/drawingml/2006/chartDrawing">
    <cdr:from>
      <cdr:x>0.85765</cdr:x>
      <cdr:y>0.58272</cdr:y>
    </cdr:from>
    <cdr:to>
      <cdr:x>0.99029</cdr:x>
      <cdr:y>0.71015</cdr:y>
    </cdr:to>
    <cdr:sp macro="" textlink="">
      <cdr:nvSpPr>
        <cdr:cNvPr id="5" name="TextBox 1"/>
        <cdr:cNvSpPr txBox="1"/>
      </cdr:nvSpPr>
      <cdr:spPr>
        <a:xfrm xmlns:a="http://schemas.openxmlformats.org/drawingml/2006/main">
          <a:off x="6675967" y="2855384"/>
          <a:ext cx="1032518" cy="624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ru-RU" sz="1100"/>
            <a:t>эффект</a:t>
          </a:r>
          <a:r>
            <a:rPr lang="ru-RU" sz="1100" baseline="0"/>
            <a:t> девальвации рубля</a:t>
          </a:r>
          <a:endParaRPr lang="ru-RU"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726281</xdr:colOff>
      <xdr:row>182</xdr:row>
      <xdr:rowOff>107155</xdr:rowOff>
    </xdr:from>
    <xdr:to>
      <xdr:col>15</xdr:col>
      <xdr:colOff>1643062</xdr:colOff>
      <xdr:row>199</xdr:row>
      <xdr:rowOff>119061</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201</xdr:row>
      <xdr:rowOff>0</xdr:rowOff>
    </xdr:from>
    <xdr:to>
      <xdr:col>15</xdr:col>
      <xdr:colOff>1678781</xdr:colOff>
      <xdr:row>219</xdr:row>
      <xdr:rowOff>59531</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190500</xdr:colOff>
      <xdr:row>133</xdr:row>
      <xdr:rowOff>66000</xdr:rowOff>
    </xdr:from>
    <xdr:to>
      <xdr:col>28</xdr:col>
      <xdr:colOff>46302</xdr:colOff>
      <xdr:row>145</xdr:row>
      <xdr:rowOff>51157</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917400" y="26440725"/>
          <a:ext cx="4123002" cy="2385457"/>
        </a:xfrm>
        <a:prstGeom prst="rect">
          <a:avLst/>
        </a:prstGeom>
        <a:ln>
          <a:solidFill>
            <a:schemeClr val="accent1"/>
          </a:solidFill>
        </a:ln>
        <a:effectLst>
          <a:outerShdw blurRad="50800" dist="38100" dir="2700000" algn="tl" rotWithShape="0">
            <a:prstClr val="black">
              <a:alpha val="40000"/>
            </a:prstClr>
          </a:outerShdw>
        </a:effectLst>
      </xdr:spPr>
    </xdr:pic>
    <xdr:clientData/>
  </xdr:twoCellAnchor>
  <xdr:twoCellAnchor editAs="oneCell">
    <xdr:from>
      <xdr:col>23</xdr:col>
      <xdr:colOff>0</xdr:colOff>
      <xdr:row>147</xdr:row>
      <xdr:rowOff>0</xdr:rowOff>
    </xdr:from>
    <xdr:to>
      <xdr:col>30</xdr:col>
      <xdr:colOff>587936</xdr:colOff>
      <xdr:row>168</xdr:row>
      <xdr:rowOff>42857</xdr:rowOff>
    </xdr:to>
    <xdr:pic>
      <xdr:nvPicPr>
        <xdr:cNvPr id="5" name="Рисунок 4"/>
        <xdr:cNvPicPr>
          <a:picLocks noChangeAspect="1"/>
        </xdr:cNvPicPr>
      </xdr:nvPicPr>
      <xdr:blipFill>
        <a:blip xmlns:r="http://schemas.openxmlformats.org/officeDocument/2006/relationships" r:embed="rId4"/>
        <a:stretch>
          <a:fillRect/>
        </a:stretch>
      </xdr:blipFill>
      <xdr:spPr>
        <a:xfrm>
          <a:off x="24726900" y="29175075"/>
          <a:ext cx="6074336" cy="4252907"/>
        </a:xfrm>
        <a:prstGeom prst="rect">
          <a:avLst/>
        </a:prstGeom>
      </xdr:spPr>
    </xdr:pic>
    <xdr:clientData/>
  </xdr:twoCellAnchor>
  <xdr:twoCellAnchor>
    <xdr:from>
      <xdr:col>15</xdr:col>
      <xdr:colOff>2069039</xdr:colOff>
      <xdr:row>182</xdr:row>
      <xdr:rowOff>52917</xdr:rowOff>
    </xdr:from>
    <xdr:to>
      <xdr:col>23</xdr:col>
      <xdr:colOff>719667</xdr:colOff>
      <xdr:row>206</xdr:row>
      <xdr:rowOff>95250</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182</xdr:row>
      <xdr:rowOff>0</xdr:rowOff>
    </xdr:from>
    <xdr:to>
      <xdr:col>40</xdr:col>
      <xdr:colOff>260614</xdr:colOff>
      <xdr:row>199</xdr:row>
      <xdr:rowOff>11906</xdr:rowOff>
    </xdr:to>
    <xdr:graphicFrame macro="">
      <xdr:nvGraphicFramePr>
        <xdr:cNvPr id="7" name="Диаграмма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0.82666</cdr:x>
      <cdr:y>0.45356</cdr:y>
    </cdr:from>
    <cdr:to>
      <cdr:x>0.84483</cdr:x>
      <cdr:y>0.53564</cdr:y>
    </cdr:to>
    <cdr:sp macro="" textlink="">
      <cdr:nvSpPr>
        <cdr:cNvPr id="2" name="Правая фигурная скобка 1"/>
        <cdr:cNvSpPr/>
      </cdr:nvSpPr>
      <cdr:spPr>
        <a:xfrm xmlns:a="http://schemas.openxmlformats.org/drawingml/2006/main">
          <a:off x="5936093" y="2222500"/>
          <a:ext cx="130452" cy="402167"/>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ru-RU"/>
        </a:p>
      </cdr:txBody>
    </cdr:sp>
  </cdr:relSizeAnchor>
  <cdr:relSizeAnchor xmlns:cdr="http://schemas.openxmlformats.org/drawingml/2006/chartDrawing">
    <cdr:from>
      <cdr:x>0.82501</cdr:x>
      <cdr:y>0.5486</cdr:y>
    </cdr:from>
    <cdr:to>
      <cdr:x>0.84648</cdr:x>
      <cdr:y>0.75162</cdr:y>
    </cdr:to>
    <cdr:sp macro="" textlink="">
      <cdr:nvSpPr>
        <cdr:cNvPr id="3" name="Правая фигурная скобка 2"/>
        <cdr:cNvSpPr/>
      </cdr:nvSpPr>
      <cdr:spPr>
        <a:xfrm xmlns:a="http://schemas.openxmlformats.org/drawingml/2006/main">
          <a:off x="5924234" y="2688167"/>
          <a:ext cx="154170" cy="99483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ru-RU"/>
        </a:p>
      </cdr:txBody>
    </cdr:sp>
  </cdr:relSizeAnchor>
  <cdr:relSizeAnchor xmlns:cdr="http://schemas.openxmlformats.org/drawingml/2006/chartDrawing">
    <cdr:from>
      <cdr:x>0.85556</cdr:x>
      <cdr:y>0.41685</cdr:y>
    </cdr:from>
    <cdr:to>
      <cdr:x>0.98821</cdr:x>
      <cdr:y>0.54428</cdr:y>
    </cdr:to>
    <cdr:sp macro="" textlink="">
      <cdr:nvSpPr>
        <cdr:cNvPr id="4" name="TextBox 3"/>
        <cdr:cNvSpPr txBox="1"/>
      </cdr:nvSpPr>
      <cdr:spPr>
        <a:xfrm xmlns:a="http://schemas.openxmlformats.org/drawingml/2006/main">
          <a:off x="6659747" y="2042583"/>
          <a:ext cx="1032518" cy="6244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ru-RU" sz="1100"/>
            <a:t>эффект</a:t>
          </a:r>
          <a:r>
            <a:rPr lang="ru-RU" sz="1100" baseline="0"/>
            <a:t> вертикальной интеграции</a:t>
          </a:r>
          <a:endParaRPr lang="ru-RU" sz="1100"/>
        </a:p>
      </cdr:txBody>
    </cdr:sp>
  </cdr:relSizeAnchor>
  <cdr:relSizeAnchor xmlns:cdr="http://schemas.openxmlformats.org/drawingml/2006/chartDrawing">
    <cdr:from>
      <cdr:x>0.85765</cdr:x>
      <cdr:y>0.58272</cdr:y>
    </cdr:from>
    <cdr:to>
      <cdr:x>0.99029</cdr:x>
      <cdr:y>0.71015</cdr:y>
    </cdr:to>
    <cdr:sp macro="" textlink="">
      <cdr:nvSpPr>
        <cdr:cNvPr id="5" name="TextBox 1"/>
        <cdr:cNvSpPr txBox="1"/>
      </cdr:nvSpPr>
      <cdr:spPr>
        <a:xfrm xmlns:a="http://schemas.openxmlformats.org/drawingml/2006/main">
          <a:off x="6675967" y="2855384"/>
          <a:ext cx="1032518" cy="624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ru-RU" sz="1100"/>
            <a:t>эффект</a:t>
          </a:r>
          <a:r>
            <a:rPr lang="ru-RU" sz="1100" baseline="0"/>
            <a:t> девальвации рубля</a:t>
          </a:r>
          <a:endParaRPr lang="ru-RU"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238125</xdr:colOff>
      <xdr:row>36</xdr:row>
      <xdr:rowOff>138112</xdr:rowOff>
    </xdr:from>
    <xdr:to>
      <xdr:col>10</xdr:col>
      <xdr:colOff>542925</xdr:colOff>
      <xdr:row>51</xdr:row>
      <xdr:rowOff>23812</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52</xdr:row>
      <xdr:rowOff>38100</xdr:rowOff>
    </xdr:from>
    <xdr:to>
      <xdr:col>10</xdr:col>
      <xdr:colOff>542925</xdr:colOff>
      <xdr:row>66</xdr:row>
      <xdr:rowOff>114300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133350</xdr:colOff>
      <xdr:row>36</xdr:row>
      <xdr:rowOff>133350</xdr:rowOff>
    </xdr:from>
    <xdr:to>
      <xdr:col>18</xdr:col>
      <xdr:colOff>438150</xdr:colOff>
      <xdr:row>51</xdr:row>
      <xdr:rowOff>19050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142875</xdr:colOff>
      <xdr:row>52</xdr:row>
      <xdr:rowOff>38100</xdr:rowOff>
    </xdr:from>
    <xdr:to>
      <xdr:col>18</xdr:col>
      <xdr:colOff>447675</xdr:colOff>
      <xdr:row>66</xdr:row>
      <xdr:rowOff>114300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r.muchipov\AppData\Roaming\Microsoft\Excel\AssetManagement\Research\Models\Oil\LKOH_mode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lobal_Vi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r.muchipov\AppData\Roaming\Microsoft\Excel\AssetManagement\Research\Models\Oil\ZKM_model.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muchipov/AppData/Local/Microsoft/Windows/Temporary%20Internet%20Files/Content.Outlook/0NE6101L/Rosn_mode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ssetManagement\Research\Models\Oil\VGAS_mode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muchipov/AppData/Local/Microsoft/Windows/Temporary%20Internet%20Files/Content.Outlook/0NE6101L/Documents%20and%20Settings/g.sukhanov/Local%20Settings/Temporary%20Internet%20Files/Content.Outlook/58R1PW3R/TNBP_mode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muchipov/Desktop/Rosneft_model_adj.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ssetManagement/Research/ResearchAssumpt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Muchipov/Documents/Downloads/FERTILIZERS/Ammonia_mk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R.Muchipov/Documents/Downloads/FERTILIZERS/Urea_m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L"/>
      <sheetName val="cover"/>
      <sheetName val="Proforma"/>
      <sheetName val="IS"/>
      <sheetName val="BS"/>
      <sheetName val="CF"/>
      <sheetName val="DCF"/>
      <sheetName val="Capex"/>
      <sheetName val="Upstream"/>
      <sheetName val="Refinery"/>
      <sheetName val="Assumptions"/>
      <sheetName val="Gas"/>
      <sheetName val="Overseas"/>
      <sheetName val="Shares"/>
      <sheetName val="Contacts"/>
      <sheetName val="Volumes"/>
      <sheetName val="WQ2"/>
      <sheetName val="Filanovsky"/>
      <sheetName val="Imilo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1">
          <cell r="D11">
            <v>7.3</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sumption"/>
      <sheetName val="Balance"/>
      <sheetName val="DAM_charts"/>
      <sheetName val="DAM_data"/>
      <sheetName val="Fuel prices"/>
      <sheetName val="Sector_Revenue"/>
      <sheetName val="DPM"/>
    </sheetNames>
    <sheetDataSet>
      <sheetData sheetId="0">
        <row r="17">
          <cell r="O17">
            <v>3.1713488960065428E-2</v>
          </cell>
          <cell r="P17">
            <v>2.8138541584928678E-2</v>
          </cell>
          <cell r="Q17">
            <v>3.9342954023271481E-2</v>
          </cell>
          <cell r="R17">
            <v>-3.2272865263915929E-4</v>
          </cell>
          <cell r="S17">
            <v>1.6486512008721865E-2</v>
          </cell>
        </row>
        <row r="39">
          <cell r="O39">
            <v>2.9318293281020091E-2</v>
          </cell>
          <cell r="P39">
            <v>2.6059405940593861E-2</v>
          </cell>
          <cell r="Q39">
            <v>3.4031496062992161E-2</v>
          </cell>
          <cell r="R39">
            <v>3.6000000000000032E-2</v>
          </cell>
          <cell r="S39">
            <v>3.6000000000000032E-2</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SA"/>
      <sheetName val="PSA rates"/>
      <sheetName val="model"/>
      <sheetName val="Ruslan"/>
      <sheetName val="IS"/>
      <sheetName val="BS"/>
      <sheetName val="CF"/>
      <sheetName val="DCF"/>
      <sheetName val="Assumptions"/>
      <sheetName val="Headcount"/>
      <sheetName val="Production_scheme"/>
      <sheetName val="Shares"/>
      <sheetName val="Ryder Scott"/>
    </sheetNames>
    <sheetDataSet>
      <sheetData sheetId="0">
        <row r="8">
          <cell r="B8">
            <v>186.8</v>
          </cell>
        </row>
      </sheetData>
      <sheetData sheetId="1"/>
      <sheetData sheetId="2"/>
      <sheetData sheetId="3"/>
      <sheetData sheetId="4"/>
      <sheetData sheetId="5">
        <row r="13">
          <cell r="B13">
            <v>-2.194</v>
          </cell>
        </row>
      </sheetData>
      <sheetData sheetId="6">
        <row r="52">
          <cell r="B52">
            <v>2.6580156051131656</v>
          </cell>
        </row>
      </sheetData>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Old"/>
      <sheetName val="BBL"/>
      <sheetName val="Cover"/>
      <sheetName val="Assumptions"/>
      <sheetName val="Proforma"/>
      <sheetName val="IS"/>
      <sheetName val="BS"/>
      <sheetName val="CF"/>
      <sheetName val="DCF"/>
      <sheetName val="ScoreCard"/>
      <sheetName val="Upsteam"/>
      <sheetName val="Refining"/>
      <sheetName val="Capex"/>
      <sheetName val="CorpGov"/>
      <sheetName val="Volumes"/>
      <sheetName val="gas"/>
      <sheetName val="Investments"/>
      <sheetName val="Rospan"/>
      <sheetName val="Tuapse"/>
      <sheetName val="TNK"/>
      <sheetName val="CapeXx"/>
      <sheetName val="Debt"/>
      <sheetName val="Sber_capex"/>
    </sheetNames>
    <sheetDataSet>
      <sheetData sheetId="0" refreshError="1"/>
      <sheetData sheetId="1" refreshError="1"/>
      <sheetData sheetId="2" refreshError="1">
        <row r="4">
          <cell r="E4" t="str">
            <v>ROSN rx</v>
          </cell>
        </row>
      </sheetData>
      <sheetData sheetId="3" refreshError="1"/>
      <sheetData sheetId="4" refreshError="1"/>
      <sheetData sheetId="5" refreshError="1"/>
      <sheetData sheetId="6" refreshError="1"/>
      <sheetData sheetId="7" refreshError="1"/>
      <sheetData sheetId="8" refreshError="1">
        <row r="2">
          <cell r="Q2">
            <v>0.1404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S"/>
      <sheetName val="BS"/>
      <sheetName val="CF"/>
      <sheetName val="Assumptions"/>
      <sheetName val="DCF"/>
      <sheetName val="Proforma"/>
      <sheetName val="Capex"/>
      <sheetName val="Map"/>
      <sheetName val="Shares"/>
      <sheetName val="Reserves"/>
      <sheetName val="Structure"/>
    </sheetNames>
    <sheetDataSet>
      <sheetData sheetId="0" refreshError="1"/>
      <sheetData sheetId="1" refreshError="1"/>
      <sheetData sheetId="2" refreshError="1"/>
      <sheetData sheetId="3" refreshError="1"/>
      <sheetData sheetId="4" refreshError="1">
        <row r="13">
          <cell r="A13" t="str">
            <v>CPI, % (end-of-year)</v>
          </cell>
          <cell r="B13">
            <v>0.09</v>
          </cell>
          <cell r="C13">
            <v>0.11899999999999999</v>
          </cell>
          <cell r="D13">
            <v>0.13400000000000001</v>
          </cell>
          <cell r="E13">
            <v>8.7999999999999995E-2</v>
          </cell>
          <cell r="F13">
            <v>8.7999999999999995E-2</v>
          </cell>
          <cell r="G13">
            <v>6.0999999999999999E-2</v>
          </cell>
          <cell r="H13">
            <v>6.6000000000000003E-2</v>
          </cell>
          <cell r="I13">
            <v>6.5000000000000002E-2</v>
          </cell>
          <cell r="J13">
            <v>0.05</v>
          </cell>
          <cell r="K13">
            <v>4.5000000000000005E-2</v>
          </cell>
          <cell r="L13">
            <v>4.0000000000000008E-2</v>
          </cell>
          <cell r="M13">
            <v>3.500000000000001E-2</v>
          </cell>
          <cell r="N13">
            <v>3.0000000000000009E-2</v>
          </cell>
          <cell r="O13">
            <v>3.0000000000000009E-2</v>
          </cell>
          <cell r="P13">
            <v>3.0000000000000009E-2</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Proforma"/>
      <sheetName val="Structure"/>
      <sheetName val="Refining"/>
      <sheetName val="Volumes"/>
      <sheetName val="DCF"/>
      <sheetName val="Assumptions"/>
      <sheetName val="Consensus"/>
    </sheetNames>
    <sheetDataSet>
      <sheetData sheetId="0">
        <row r="3">
          <cell r="B3">
            <v>30025</v>
          </cell>
        </row>
      </sheetData>
      <sheetData sheetId="1">
        <row r="37">
          <cell r="B37">
            <v>6238</v>
          </cell>
        </row>
      </sheetData>
      <sheetData sheetId="2"/>
      <sheetData sheetId="3"/>
      <sheetData sheetId="4"/>
      <sheetData sheetId="5"/>
      <sheetData sheetId="6">
        <row r="6">
          <cell r="N6">
            <v>0.2</v>
          </cell>
        </row>
      </sheetData>
      <sheetData sheetId="7">
        <row r="3">
          <cell r="A3" t="str">
            <v>RUB/USD, ave</v>
          </cell>
          <cell r="B3">
            <v>28.32</v>
          </cell>
          <cell r="C3">
            <v>27.18</v>
          </cell>
          <cell r="D3">
            <v>25.56</v>
          </cell>
          <cell r="E3">
            <v>24.87</v>
          </cell>
          <cell r="F3">
            <v>31.75</v>
          </cell>
          <cell r="G3">
            <v>30.2925</v>
          </cell>
          <cell r="H3">
            <v>29.849367127429804</v>
          </cell>
          <cell r="I3">
            <v>29.163734254859609</v>
          </cell>
          <cell r="J3">
            <v>29.163734254859609</v>
          </cell>
          <cell r="K3">
            <v>29.771312051835849</v>
          </cell>
          <cell r="L3">
            <v>30.378889848812094</v>
          </cell>
        </row>
      </sheetData>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L"/>
      <sheetName val="Cover"/>
      <sheetName val="Assumptions"/>
      <sheetName val="Proforma"/>
      <sheetName val="IS"/>
      <sheetName val="BS"/>
      <sheetName val="CF"/>
      <sheetName val="ADJ"/>
      <sheetName val="InvestCase2"/>
      <sheetName val="InvestCase"/>
      <sheetName val="Upsteam"/>
      <sheetName val="Refining"/>
      <sheetName val="DebtRepayment"/>
      <sheetName val="Capex"/>
      <sheetName val="CapeXx"/>
      <sheetName val="CorpGov"/>
      <sheetName val="Rospan"/>
      <sheetName val="Greenfield"/>
      <sheetName val="Suzun"/>
      <sheetName val="Russkoe"/>
      <sheetName val="TaasY"/>
      <sheetName val="UT"/>
      <sheetName val="gas"/>
      <sheetName val="Investments"/>
      <sheetName val="Sheet1"/>
      <sheetName val="Messoyakha"/>
      <sheetName val="Tuapse"/>
      <sheetName val="Sber_capex"/>
      <sheetName val="Divestment"/>
      <sheetName val="Deb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Calc2"/>
      <sheetName val="MacroCalc"/>
      <sheetName val="Macro"/>
      <sheetName val="AveFx"/>
      <sheetName val="RUB"/>
      <sheetName val="UAH"/>
      <sheetName val="KZT"/>
      <sheetName val="BigMac"/>
      <sheetName val="Budget"/>
      <sheetName val="Regression"/>
      <sheetName val="Regression2"/>
      <sheetName val="REER"/>
      <sheetName val="RUBvsBrent"/>
      <sheetName val="Егор"/>
      <sheetName val="Sheet1"/>
      <sheetName val="Sheet2"/>
      <sheetName val="ResearchAssumptions"/>
      <sheetName val="Macro (2)"/>
    </sheetNames>
    <sheetDataSet>
      <sheetData sheetId="0"/>
      <sheetData sheetId="1"/>
      <sheetData sheetId="2">
        <row r="4">
          <cell r="B4">
            <v>6.4000000000000001E-2</v>
          </cell>
        </row>
        <row r="7">
          <cell r="G7">
            <v>8.7999999999999995E-2</v>
          </cell>
          <cell r="H7">
            <v>6.0999999999999999E-2</v>
          </cell>
          <cell r="I7">
            <v>6.6000000000000003E-2</v>
          </cell>
          <cell r="J7">
            <v>6.5000000000000002E-2</v>
          </cell>
          <cell r="K7">
            <v>0.114</v>
          </cell>
          <cell r="L7">
            <v>0.129</v>
          </cell>
          <cell r="M7">
            <v>5.3999999999999999E-2</v>
          </cell>
          <cell r="N7">
            <v>2.5000000000000001E-2</v>
          </cell>
          <cell r="O7">
            <v>0.04</v>
          </cell>
          <cell r="P7">
            <v>4.4999999999999998E-2</v>
          </cell>
          <cell r="Q7">
            <v>4.4999999999999998E-2</v>
          </cell>
          <cell r="R7">
            <v>4.4999999999999998E-2</v>
          </cell>
          <cell r="S7">
            <v>4.4999999999999998E-2</v>
          </cell>
        </row>
        <row r="11">
          <cell r="G11">
            <v>30.535</v>
          </cell>
          <cell r="H11">
            <v>32.14</v>
          </cell>
          <cell r="I11">
            <v>30.367999999999999</v>
          </cell>
          <cell r="J11">
            <v>32.869999999999997</v>
          </cell>
          <cell r="K11">
            <v>56.258000000000003</v>
          </cell>
          <cell r="L11">
            <v>72.8827</v>
          </cell>
          <cell r="M11">
            <v>60.273000000000003</v>
          </cell>
          <cell r="N11">
            <v>57.6</v>
          </cell>
          <cell r="O11">
            <v>59.1889590251212</v>
          </cell>
          <cell r="P11">
            <v>60.935886279131608</v>
          </cell>
          <cell r="Q11">
            <v>62.693607873419865</v>
          </cell>
          <cell r="R11">
            <v>64.320523634068692</v>
          </cell>
          <cell r="S11">
            <v>65.897007056472333</v>
          </cell>
        </row>
        <row r="15">
          <cell r="G15">
            <v>30.36</v>
          </cell>
          <cell r="H15">
            <v>29.4</v>
          </cell>
          <cell r="I15">
            <v>31.062999999999999</v>
          </cell>
          <cell r="J15">
            <v>31.864000000000001</v>
          </cell>
          <cell r="K15">
            <v>38.630000000000003</v>
          </cell>
          <cell r="L15">
            <v>61.252000000000002</v>
          </cell>
          <cell r="M15">
            <v>66.983249999999998</v>
          </cell>
          <cell r="N15">
            <v>58.118750000000006</v>
          </cell>
          <cell r="O15">
            <v>58.351536438092459</v>
          </cell>
          <cell r="P15">
            <v>60.02638161214994</v>
          </cell>
          <cell r="Q15">
            <v>61.845390946113277</v>
          </cell>
          <cell r="R15">
            <v>63.541824800726452</v>
          </cell>
          <cell r="S15">
            <v>65.099222467410925</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B"/>
      <sheetName val="SRMC"/>
      <sheetName val="LRMC"/>
      <sheetName val="PX"/>
    </sheetNames>
    <sheetDataSet>
      <sheetData sheetId="0"/>
      <sheetData sheetId="1"/>
      <sheetData sheetId="2"/>
      <sheetData sheetId="3">
        <row r="68">
          <cell r="N68">
            <v>299.44104308390024</v>
          </cell>
          <cell r="O68">
            <v>316.43084096318688</v>
          </cell>
          <cell r="P68">
            <v>320.2767019791271</v>
          </cell>
          <cell r="Q68">
            <v>323.91474948310974</v>
          </cell>
          <cell r="R68">
            <v>327.59328665479819</v>
          </cell>
          <cell r="S68">
            <v>331.31237924127493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B"/>
      <sheetName val="SRMC"/>
      <sheetName val="LRMC"/>
      <sheetName val="PX"/>
    </sheetNames>
    <sheetDataSet>
      <sheetData sheetId="0" refreshError="1"/>
      <sheetData sheetId="1" refreshError="1"/>
      <sheetData sheetId="2" refreshError="1"/>
      <sheetData sheetId="3">
        <row r="20">
          <cell r="O20">
            <v>245.82192260516661</v>
          </cell>
          <cell r="P20">
            <v>247.21758768168925</v>
          </cell>
          <cell r="Q20">
            <v>248.53783712049994</v>
          </cell>
          <cell r="R20">
            <v>249.87278028197579</v>
          </cell>
          <cell r="S20">
            <v>251.2224410257692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Руслан Мучипов" refreshedDate="42612.612891550925" backgroundQuery="1" createdVersion="4" refreshedVersion="4" minRefreshableVersion="3" recordCount="0" supportSubquery="1" supportAdvancedDrill="1">
  <cacheSource type="external" connectionId="1"/>
  <cacheFields count="17">
    <cacheField name="[Security].[Security].[Security]" caption="Security" numFmtId="0" hierarchy="8" level="1">
      <sharedItems containsSemiMixedTypes="0" containsString="0"/>
    </cacheField>
    <cacheField name="[Security].[Security].[Security].[Company]" caption="Company" propertyName="Company" numFmtId="0" hierarchy="8" level="1" memberPropertyField="1">
      <sharedItems containsSemiMixedTypes="0" containsString="0"/>
    </cacheField>
    <cacheField name="[Security].[Security].[Security].[Security Name]" caption="Security Name" propertyName="Security Name" numFmtId="0" hierarchy="8" level="1" memberPropertyField="1">
      <sharedItems containsSemiMixedTypes="0" containsString="0"/>
    </cacheField>
    <cacheField name="[Security].[Security].[Security].[Sub Type]" caption="Sub Type" propertyName="Sub Type" numFmtId="0" hierarchy="8" level="1" memberPropertyField="1">
      <sharedItems containsSemiMixedTypes="0" containsString="0"/>
    </cacheField>
    <cacheField name="[Security].[Security].[Security].[Ticker]" caption="Ticker" propertyName="Ticker" numFmtId="0" hierarchy="8" level="1" memberPropertyField="1">
      <sharedItems containsSemiMixedTypes="0" containsString="0"/>
    </cacheField>
    <cacheField name="[Security].[Security].[Security].[Uno Name Alias]" caption="Uno Name Alias" propertyName="Uno Name Alias" numFmtId="0" hierarchy="8" level="1" memberPropertyField="1">
      <sharedItems containsSemiMixedTypes="0" containsString="0"/>
    </cacheField>
    <cacheField name="[Security].[Security].[Security].[Uno Sector Alias]" caption="Uno Sector Alias" propertyName="Uno Sector Alias" numFmtId="0" hierarchy="8" level="1" memberPropertyField="1">
      <sharedItems containsSemiMixedTypes="0" containsString="0"/>
    </cacheField>
    <cacheField name="[Year].[Year].[Year]" caption="Year" numFmtId="0" hierarchy="15" level="1">
      <sharedItems count="16">
        <s v="[Year].[Year].&amp;[2005]" c="2005"/>
        <s v="[Year].[Year].&amp;[2006]" c="2006"/>
        <s v="[Year].[Year].&amp;[2007]" c="2007"/>
        <s v="[Year].[Year].&amp;[2008]" c="2008"/>
        <s v="[Year].[Year].&amp;[2009]" c="2009"/>
        <s v="[Year].[Year].&amp;[2010]" c="2010"/>
        <s v="[Year].[Year].&amp;[2011]" c="2011"/>
        <s v="[Year].[Year].&amp;[2012]" c="2012"/>
        <s v="[Year].[Year].&amp;[2013]" c="2013"/>
        <s v="[Year].[Year].&amp;[2014]" c="2014"/>
        <s v="[Year].[Year].&amp;[2015]" c="2015"/>
        <s v="[Year].[Year].&amp;[2016]" c="2016"/>
        <s v="[Year].[Year].&amp;[2017]" c="2017"/>
        <s v="[Year].[Year].&amp;[2018]" c="2018"/>
        <s v="[Year].[Year].&amp;[2019]" c="2019"/>
        <s v="[Year].[Year].&amp;[2020]" c="2020"/>
      </sharedItems>
    </cacheField>
    <cacheField name="[Measures].[Russia Rf]" caption="Russia Rf" numFmtId="0" hierarchy="101" level="32767"/>
    <cacheField name="[Measures].[Mrp]" caption="Mrp" numFmtId="0" hierarchy="103" level="32767"/>
    <cacheField name="[Measures].[Beta Unlevered]" caption="Beta Unlevered" numFmtId="0" hierarchy="100" level="32767"/>
    <cacheField name="[Measures].[Beta Levered]" caption="Beta Levered" numFmtId="0" hierarchy="96" level="32767"/>
    <cacheField name="[Measures].[De]" caption="De" numFmtId="0" hierarchy="97" level="32767"/>
    <cacheField name="[Measures].[Tax Rate]" caption="Tax Rate" numFmtId="0" hierarchy="98" level="32767"/>
    <cacheField name="[Measures].[Corp Gov Premium]" caption="Corp Gov Premium" numFmtId="0" hierarchy="95" level="32767"/>
    <cacheField name="[Measures].[Liquidity Premium]" caption="Liquidity Premium" numFmtId="0" hierarchy="99" level="32767"/>
    <cacheField name="[Measures].[Req Yield]" caption="Req Yield" numFmtId="0" hierarchy="104" level="32767"/>
  </cacheFields>
  <cacheHierarchies count="139">
    <cacheHierarchy uniqueName="[Currency].[Currency]" caption="Currency" attribute="1" keyAttribute="1" defaultMemberUniqueName="[Currency].[Currency].&amp;[5]" dimensionUniqueName="[Currency]" displayFolder="" count="0" unbalanced="0"/>
    <cacheHierarchy uniqueName="[Fund].[Fund Hierarchy]" caption="Fund Hierarchy" defaultMemberUniqueName="[Fund].[Fund Hierarchy].[All]" allUniqueName="[Fund].[Fund Hierarchy].[All]" dimensionUniqueName="[Fund]" displayFolder="" count="0" unbalanced="0"/>
    <cacheHierarchy uniqueName="[Fund].[Fund Name]" caption="Fund Name" attribute="1" keyAttribute="1" defaultMemberUniqueName="[Fund].[Fund Name].[All]" allUniqueName="[Fund].[Fund Name].[All]" dimensionUniqueName="[Fund]" displayFolder="" count="0" unbalanced="0"/>
    <cacheHierarchy uniqueName="[Security].[Company]" caption="Company" attribute="1" defaultMemberUniqueName="[Security].[Company].[All]" allUniqueName="[Security].[Company].[All]" dimensionUniqueName="[Security]" displayFolder="" count="0" unbalanced="0"/>
    <cacheHierarchy uniqueName="[Security].[Company Hierarchy]" caption="Company Hierarchy" defaultMemberUniqueName="[Security].[Company Hierarchy].[All]" allUniqueName="[Security].[Company Hierarchy].[All]" dimensionUniqueName="[Security]" displayFolder="" count="0" unbalanced="0"/>
    <cacheHierarchy uniqueName="[Security].[Country]" caption="Country" attribute="1" defaultMemberUniqueName="[Security].[Country].[All]" allUniqueName="[Security].[Country].[All]" dimensionUniqueName="[Security]" displayFolder="" count="0" unbalanced="0"/>
    <cacheHierarchy uniqueName="[Security].[Full Hierarchy]" caption="Full Hierarchy" defaultMemberUniqueName="[Security].[Full Hierarchy].[All]" allUniqueName="[Security].[Full Hierarchy].[All]" dimensionUniqueName="[Security]" displayFolder="" count="0" unbalanced="0"/>
    <cacheHierarchy uniqueName="[Security].[Sector Hierarchy]" caption="Sector Hierarchy" defaultMemberUniqueName="[Security].[Sector Hierarchy].[All]" allUniqueName="[Security].[Sector Hierarchy].[All]" dimensionUniqueName="[Security]" displayFolder="" count="0" unbalanced="0"/>
    <cacheHierarchy uniqueName="[Security].[Security]" caption="Security" attribute="1" keyAttribute="1" defaultMemberUniqueName="[Security].[Security].[All]" allUniqueName="[Security].[Security].[All]" dimensionUniqueName="[Security]" displayFolder="" count="2" unbalanced="0">
      <fieldsUsage count="2">
        <fieldUsage x="-1"/>
        <fieldUsage x="0"/>
      </fieldsUsage>
    </cacheHierarchy>
    <cacheHierarchy uniqueName="[Security].[Sub Type]" caption="Sub Type" attribute="1" defaultMemberUniqueName="[Security].[Sub Type].[All]" allUniqueName="[Security].[Sub Type].[All]" dimensionUniqueName="[Security]" displayFolder="" count="0" unbalanced="0"/>
    <cacheHierarchy uniqueName="[Security].[Ticker]" caption="Ticker" attribute="1" defaultMemberUniqueName="[Security].[Ticker].[All]" allUniqueName="[Security].[Ticker].[All]" dimensionUniqueName="[Security]" displayFolder="" count="0" unbalanced="0"/>
    <cacheHierarchy uniqueName="[Security].[Type]" caption="Type" attribute="1" defaultMemberUniqueName="[Security].[Type].[All]" allUniqueName="[Security].[Type].[All]" dimensionUniqueName="[Security]" displayFolder="" count="0" unbalanced="0"/>
    <cacheHierarchy uniqueName="[Security].[Type Hierarchy]" caption="Type Hierarchy" defaultMemberUniqueName="[Security].[Type Hierarchy].[All]" allUniqueName="[Security].[Type Hierarchy].[All]" dimensionUniqueName="[Security]" displayFolder="" count="0" unbalanced="0"/>
    <cacheHierarchy uniqueName="[Security].[Uno Name Alias]" caption="Uno Name Alias" attribute="1" defaultMemberUniqueName="[Security].[Uno Name Alias].[All]" allUniqueName="[Security].[Uno Name Alias].[All]" dimensionUniqueName="[Security]" displayFolder="" count="0" unbalanced="0"/>
    <cacheHierarchy uniqueName="[Security].[Uno Sector Alias]" caption="Uno Sector Alias" attribute="1" defaultMemberUniqueName="[Security].[Uno Sector Alias].[All]" allUniqueName="[Security].[Uno Sector Alias].[All]" dimensionUniqueName="[Security]" displayFolder="" count="0" unbalanced="0"/>
    <cacheHierarchy uniqueName="[Year].[Year]" caption="Year" attribute="1" keyAttribute="1" defaultMemberUniqueName="[Year].[Year].&amp;[2016]" allUniqueName="[Year].[Year].[All]" dimensionUniqueName="[Year]" displayFolder="" count="2" unbalanced="0">
      <fieldsUsage count="2">
        <fieldUsage x="-1"/>
        <fieldUsage x="7"/>
      </fieldsUsage>
    </cacheHierarchy>
    <cacheHierarchy uniqueName="[YMD Date].[Day]" caption="Day" attribute="1" time="1" keyAttribute="1" defaultMemberUniqueName="[YMD Date].[Day].[All]" allUniqueName="[YMD Date].[Day].[All]" dimensionUniqueName="[YMD Date]" displayFolder="" count="0" memberValueDatatype="130" unbalanced="0"/>
    <cacheHierarchy uniqueName="[YMD Date].[Month]" caption="Month" attribute="1" time="1" defaultMemberUniqueName="[YMD Date].[Month].[All]" allUniqueName="[YMD Date].[Month].[All]" dimensionUniqueName="[YMD Date]" displayFolder="" count="0" unbalanced="0"/>
    <cacheHierarchy uniqueName="[YMD Date].[Year]" caption="Year" attribute="1" time="1" defaultMemberUniqueName="[YMD Date].[Year].[All]" allUniqueName="[YMD Date].[Year].[All]" dimensionUniqueName="[YMD Date]" displayFolder="" count="0" unbalanced="0"/>
    <cacheHierarchy uniqueName="[YMD Date].[YMD Date]" caption="YMD Date" time="1" defaultMemberUniqueName="[YMD Date].[YMD Date].[All]" allUniqueName="[YMD Date].[YMD Date].[All]" dimensionUniqueName="[YMD Date]" displayFolder="" count="0" unbalanced="0"/>
    <cacheHierarchy uniqueName="[Fund].[Fond Type1]" caption="Fond Type1" attribute="1" defaultMemberUniqueName="[Fund].[Fond Type1].[All]" allUniqueName="[Fund].[Fond Type1].[All]" dimensionUniqueName="[Fund]" displayFolder="" count="0" unbalanced="0" hidden="1"/>
    <cacheHierarchy uniqueName="[Fund].[Fond Type2]" caption="Fond Type2" attribute="1" defaultMemberUniqueName="[Fund].[Fond Type2].[All]" allUniqueName="[Fund].[Fond Type2].[All]" dimensionUniqueName="[Fund]" displayFolder="" count="0" unbalanced="0" hidden="1"/>
    <cacheHierarchy uniqueName="[Fund].[Fond Type3]" caption="Fond Type3" attribute="1" defaultMemberUniqueName="[Fund].[Fond Type3].[All]" allUniqueName="[Fund].[Fond Type3].[All]" dimensionUniqueName="[Fund]" displayFolder="" count="0" unbalanced="0" hidden="1"/>
    <cacheHierarchy uniqueName="[Security].[Company Name]" caption="Company Name" attribute="1" defaultMemberUniqueName="[Security].[Company Name].[All]" allUniqueName="[Security].[Company Name].[All]" dimensionUniqueName="[Security]" displayFolder="" count="0" unbalanced="0" hidden="1"/>
    <cacheHierarchy uniqueName="[Security].[Sector]" caption="Sector" attribute="1" defaultMemberUniqueName="[Security].[Sector].[All]" allUniqueName="[Security].[Sector].[All]" dimensionUniqueName="[Security]" displayFolder="" count="0" unbalanced="0" hidden="1"/>
    <cacheHierarchy uniqueName="[Security].[Security Name]" caption="Security Name" attribute="1" defaultMemberUniqueName="[Security].[Security Name].[All]" allUniqueName="[Security].[Security Name].[All]" dimensionUniqueName="[Security]" displayFolder="" count="0" unbalanced="0" hidden="1"/>
    <cacheHierarchy uniqueName="[Security].[Sub Sector]" caption="Sub Sector" attribute="1" defaultMemberUniqueName="[Security].[Sub Sector].[All]" allUniqueName="[Security].[Sub Sector].[All]" dimensionUniqueName="[Security]" displayFolder="" count="0" unbalanced="0" hidden="1"/>
    <cacheHierarchy uniqueName="[Measures].[AP]" caption="AP" measure="1" displayFolder="BS" measureGroup="Company" count="0"/>
    <cacheHierarchy uniqueName="[Measures].[AR]" caption="AR" measure="1" displayFolder="BS" measureGroup="Company" count="0"/>
    <cacheHierarchy uniqueName="[Measures].[Cash]" caption="Cash" measure="1" displayFolder="BS" measureGroup="Company" count="0"/>
    <cacheHierarchy uniqueName="[Measures].[Cur Assets]" caption="Cur Assets" measure="1" displayFolder="BS" measureGroup="Company" count="0"/>
    <cacheHierarchy uniqueName="[Measures].[Curr Liab]" caption="Curr Liab" measure="1" displayFolder="BS" measureGroup="Company" count="0"/>
    <cacheHierarchy uniqueName="[Measures].[SHEQ]" caption="SHEQ" measure="1" displayFolder="BS" measureGroup="Company" count="0"/>
    <cacheHierarchy uniqueName="[Measures].[Goodwill]" caption="Goodwill" measure="1" displayFolder="BS" measureGroup="Company" count="0"/>
    <cacheHierarchy uniqueName="[Measures].[Inventories]" caption="Inventories" measure="1" displayFolder="BS" measureGroup="Company" count="0"/>
    <cacheHierarchy uniqueName="[Measures].[Investments]" caption="Investments" measure="1" displayFolder="BS" measureGroup="Company" count="0"/>
    <cacheHierarchy uniqueName="[Measures].[Ltliab]" caption="Ltliab" measure="1" displayFolder="BS" measureGroup="Company" count="0"/>
    <cacheHierarchy uniqueName="[Measures].[Minority Equity]" caption="Minority Equity" measure="1" displayFolder="BS" measureGroup="Company" count="0"/>
    <cacheHierarchy uniqueName="[Measures].[Net Debt]" caption="Net Debt" measure="1" displayFolder="BS" measureGroup="Company" count="0"/>
    <cacheHierarchy uniqueName="[Measures].[Gross Debt]" caption="Gross Debt" measure="1" displayFolder="BS" measureGroup="Company" count="0"/>
    <cacheHierarchy uniqueName="[Measures].[PPE]" caption="PPE" measure="1" displayFolder="BS" measureGroup="Company" count="0"/>
    <cacheHierarchy uniqueName="[Measures].[Stdebt]" caption="Stdebt" measure="1" displayFolder="BS" measureGroup="Company" count="0"/>
    <cacheHierarchy uniqueName="[Measures].[TA]" caption="TA" measure="1" displayFolder="BS" measureGroup="Company" count="0"/>
    <cacheHierarchy uniqueName="[Measures].[DDA]" caption="DDA" measure="1" displayFolder="IS" measureGroup="Company" count="0"/>
    <cacheHierarchy uniqueName="[Measures].[Financing CF]" caption="Financing CF" measure="1" displayFolder="CF" measureGroup="Company" count="0"/>
    <cacheHierarchy uniqueName="[Measures].[EBITDA]" caption="EBITDA" measure="1" displayFolder="IS" measureGroup="Company" count="0"/>
    <cacheHierarchy uniqueName="[Measures].[FX gain]" caption="FX gain" measure="1" displayFolder="IS" measureGroup="Company" count="0"/>
    <cacheHierarchy uniqueName="[Measures].[Minority Income]" caption="Minority Income" measure="1" displayFolder="IS" measureGroup="Company" count="0"/>
    <cacheHierarchy uniqueName="[Measures].[Net Income]" caption="Net Income" measure="1" displayFolder="IS" measureGroup="Company" count="0"/>
    <cacheHierarchy uniqueName="[Measures].[Net Income Adj]" caption="Net Income Adj" measure="1" displayFolder="IS" measureGroup="Company" count="0"/>
    <cacheHierarchy uniqueName="[Measures].[EBITDA adj]" caption="EBITDA adj" measure="1" displayFolder="IS" measureGroup="Company" count="0"/>
    <cacheHierarchy uniqueName="[Measures].[Net Interest]" caption="Net Interest" measure="1" displayFolder="IS" measureGroup="Company" count="0"/>
    <cacheHierarchy uniqueName="[Measures].[Revenue]" caption="Revenue" measure="1" displayFolder="IS" measureGroup="Company" count="0"/>
    <cacheHierarchy uniqueName="[Measures].[DPS]" caption="DPS" measure="1" displayFolder="Per Share" measureGroup="Company" count="0"/>
    <cacheHierarchy uniqueName="[Measures].[Target]" caption="Target" measure="1" displayFolder="Per Share" measureGroup="Company" count="0"/>
    <cacheHierarchy uniqueName="[Measures].[DCF]" caption="DCF" measure="1" displayFolder="Per Share" measureGroup="Company" count="0"/>
    <cacheHierarchy uniqueName="[Measures].[Shares Out ave]" caption="Shares Out ave" measure="1" displayFolder="Per Share" measureGroup="Company" count="0"/>
    <cacheHierarchy uniqueName="[Measures].[Shares Out ave Sum]" caption="Shares Out ave Sum" measure="1" displayFolder="Per Share" measureGroup="Company" count="0"/>
    <cacheHierarchy uniqueName="[Measures].[Shares Out end]" caption="Shares Out end" measure="1" displayFolder="Per Share" measureGroup="Company" count="0"/>
    <cacheHierarchy uniqueName="[Measures].[ShareInADR]" caption="ShareInADR" measure="1" displayFolder="ID" measureGroup="Company" count="0"/>
    <cacheHierarchy uniqueName="[Measures].[EPS]" caption="EPS" measure="1" displayFolder="Per Share" measureGroup="Company" count="0"/>
    <cacheHierarchy uniqueName="[Measures].[BVPS]" caption="BVPS" measure="1" displayFolder="Per Share" measureGroup="Company" count="0"/>
    <cacheHierarchy uniqueName="[Measures].[Net Debt Per Share]" caption="Net Debt Per Share" measure="1" displayFolder="Per Share" measureGroup="Company" count="0"/>
    <cacheHierarchy uniqueName="[Measures].[PE]" caption="PE" measure="1" displayFolder="Multiples" measureGroup="Company" count="0"/>
    <cacheHierarchy uniqueName="[Measures].[PB]" caption="PB" measure="1" displayFolder="Multiples" measureGroup="Company" count="0"/>
    <cacheHierarchy uniqueName="[Measures].[Div Yield]" caption="Div Yield" measure="1" displayFolder="Multiples" measureGroup="Company" count="0"/>
    <cacheHierarchy uniqueName="[Measures].[Minority Per Share]" caption="Minority Per Share" measure="1" displayFolder="Per Share" measureGroup="Company" count="0"/>
    <cacheHierarchy uniqueName="[Measures].[Investments Per Share]" caption="Investments Per Share" measure="1" displayFolder="Per Share" measureGroup="Company" count="0"/>
    <cacheHierarchy uniqueName="[Measures].[EBITDA Per Share]" caption="EBITDA Per Share" measure="1" displayFolder="Per Share" measureGroup="Company" count="0"/>
    <cacheHierarchy uniqueName="[Measures].[EVEBITDA]" caption="EVEBITDA" measure="1" displayFolder="Multiples" measureGroup="Company" count="0"/>
    <cacheHierarchy uniqueName="[Measures].[EV]" caption="EV" measure="1" displayFolder="Per Share" measureGroup="Company" count="0"/>
    <cacheHierarchy uniqueName="[Measures].[Working Capital]" caption="Working Capital" measure="1" displayFolder="BS" measureGroup="Company" count="0"/>
    <cacheHierarchy uniqueName="[Measures].[Invested Capital]" caption="Invested Capital" measure="1" displayFolder="BS" measureGroup="Company" count="0"/>
    <cacheHierarchy uniqueName="[Measures].[FF]" caption="FF" measure="1" displayFolder="ID" measureGroup="Company" count="0"/>
    <cacheHierarchy uniqueName="[Measures].[In CF]" caption="In CF" measure="1" displayFolder="CF" measureGroup="Company" count="0"/>
    <cacheHierarchy uniqueName="[Measures].[Op CF]" caption="Op CF" measure="1" displayFolder="CF" measureGroup="Company" count="0"/>
    <cacheHierarchy uniqueName="[Measures].[Capex]" caption="Capex" measure="1" displayFolder="CF" measureGroup="Company" count="0"/>
    <cacheHierarchy uniqueName="[Measures].[Stay in bsn capex]" caption="Stay in bsn capex" measure="1" displayFolder="CF" measureGroup="Company" count="0"/>
    <cacheHierarchy uniqueName="[Measures].[Income Tax]" caption="Income Tax" measure="1" displayFolder="IS" measureGroup="Company" count="0"/>
    <cacheHierarchy uniqueName="[Measures].[Interest Income]" caption="Interest Income" measure="1" displayFolder="IS" measureGroup="Company" count="0"/>
    <cacheHierarchy uniqueName="[Measures].[Interest Expense]" caption="Interest Expense" measure="1" displayFolder="IS" measureGroup="Company" count="0"/>
    <cacheHierarchy uniqueName="[Measures].[FCF PS]" caption="FCF PS" measure="1" displayFolder="Per Share" measureGroup="Company" count="0"/>
    <cacheHierarchy uniqueName="[Measures].[FCFE Yield]" caption="FCFE Yield" measure="1" displayFolder="Multiples" measureGroup="Company" count="0"/>
    <cacheHierarchy uniqueName="[Measures].[FF Value]" caption="FF Value" measure="1" displayFolder="ID" measureGroup="Company" count="0"/>
    <cacheHierarchy uniqueName="[Measures].[MCAP]" caption="MCAP" measure="1" displayFolder="ID" measureGroup="Company" count="0"/>
    <cacheHierarchy uniqueName="[Measures].[ROE]" caption="ROE" measure="1" displayFolder="ID" measureGroup="Company" count="0"/>
    <cacheHierarchy uniqueName="[Measures].[ROIC]" caption="ROIC" measure="1" displayFolder="ID" measureGroup="Company" count="0"/>
    <cacheHierarchy uniqueName="[Measures].[EPS Change]" caption="EPS Change" measure="1" displayFolder="Per Share" measureGroup="Company" count="0"/>
    <cacheHierarchy uniqueName="[Measures].[CurShareCount]" caption="CurShareCount" measure="1" displayFolder="Per Share" measureGroup="Company" count="0"/>
    <cacheHierarchy uniqueName="[Measures].[Update]" caption="Update" measure="1" displayFolder="ID" measureGroup="Company" count="0"/>
    <cacheHierarchy uniqueName="[Measures].[Dividends Paid]" caption="Dividends Paid" measure="1" displayFolder="CF" measureGroup="Company" count="0"/>
    <cacheHierarchy uniqueName="[Measures].[WC Change]" caption="WC Change" measure="1" displayFolder="CF" measureGroup="Company" count="0"/>
    <cacheHierarchy uniqueName="[Measures].[Debt Repayment]" caption="Debt Repayment" measure="1" displayFolder="CF" measureGroup="Company" count="0"/>
    <cacheHierarchy uniqueName="[Measures].[Fixed Assets]" caption="Fixed Assets" measure="1" displayFolder="BS" measureGroup="Company" count="0"/>
    <cacheHierarchy uniqueName="[Measures].[LT Debt]" caption="LT Debt" measure="1" displayFolder="BS" measureGroup="Company" count="0"/>
    <cacheHierarchy uniqueName="[Measures].[Corp Gov Premium]" caption="Corp Gov Premium" measure="1" displayFolder="Coe" measureGroup="Company" count="0" oneField="1">
      <fieldsUsage count="1">
        <fieldUsage x="14"/>
      </fieldsUsage>
    </cacheHierarchy>
    <cacheHierarchy uniqueName="[Measures].[Beta Levered]" caption="Beta Levered" measure="1" displayFolder="Coe" measureGroup="Company" count="0" oneField="1">
      <fieldsUsage count="1">
        <fieldUsage x="11"/>
      </fieldsUsage>
    </cacheHierarchy>
    <cacheHierarchy uniqueName="[Measures].[De]" caption="De" measure="1" displayFolder="Coe" measureGroup="Company" count="0" oneField="1">
      <fieldsUsage count="1">
        <fieldUsage x="12"/>
      </fieldsUsage>
    </cacheHierarchy>
    <cacheHierarchy uniqueName="[Measures].[Tax Rate]" caption="Tax Rate" measure="1" displayFolder="Coe" measureGroup="Company" count="0" oneField="1">
      <fieldsUsage count="1">
        <fieldUsage x="13"/>
      </fieldsUsage>
    </cacheHierarchy>
    <cacheHierarchy uniqueName="[Measures].[Liquidity Premium]" caption="Liquidity Premium" measure="1" displayFolder="Coe" measureGroup="Company" count="0" oneField="1">
      <fieldsUsage count="1">
        <fieldUsage x="15"/>
      </fieldsUsage>
    </cacheHierarchy>
    <cacheHierarchy uniqueName="[Measures].[Beta Unlevered]" caption="Beta Unlevered" measure="1" displayFolder="Coe" measureGroup="Company" count="0" oneField="1">
      <fieldsUsage count="1">
        <fieldUsage x="10"/>
      </fieldsUsage>
    </cacheHierarchy>
    <cacheHierarchy uniqueName="[Measures].[Russia Rf]" caption="Russia Rf" measure="1" displayFolder="Coe" measureGroup="Company" count="0" oneField="1">
      <fieldsUsage count="1">
        <fieldUsage x="8"/>
      </fieldsUsage>
    </cacheHierarchy>
    <cacheHierarchy uniqueName="[Measures].[Coe]" caption="Coe" measure="1" displayFolder="Coe" measureGroup="Company" count="0"/>
    <cacheHierarchy uniqueName="[Measures].[Mrp]" caption="Mrp" measure="1" displayFolder="Coe" measureGroup="Company" count="0" oneField="1">
      <fieldsUsage count="1">
        <fieldUsage x="9"/>
      </fieldsUsage>
    </cacheHierarchy>
    <cacheHierarchy uniqueName="[Measures].[Req Yield]" caption="Req Yield" measure="1" displayFolder="Coe" measureGroup="Company" count="0" oneField="1">
      <fieldsUsage count="1">
        <fieldUsage x="16"/>
      </fieldsUsage>
    </cacheHierarchy>
    <cacheHierarchy uniqueName="[Measures].[EBIT7]" caption="EBIT7" measure="1" displayFolder="IS" measureGroup="Company" count="0"/>
    <cacheHierarchy uniqueName="[Measures].[TEVEBIT7]" caption="TEVEBIT7" measure="1" displayFolder="Multiples" measureGroup="Company" count="0"/>
    <cacheHierarchy uniqueName="[Measures].[NDEBIT7]" caption="NDEBIT7" measure="1" displayFolder="Multiples" measureGroup="Company" count="0"/>
    <cacheHierarchy uniqueName="[Measures].[EVEBIT7]" caption="EVEBIT7" measure="1" displayFolder="Multiples" measureGroup="Company" count="0"/>
    <cacheHierarchy uniqueName="[Measures].[Target Price]" caption="Target Price" measure="1" displayFolder="Per Share" measureGroup="Company" count="0"/>
    <cacheHierarchy uniqueName="[Measures].[Price]" caption="Price" measure="1" displayFolder="" measureGroup="Prices" count="0"/>
    <cacheHierarchy uniqueName="[Measures].[Mid Price]" caption="Mid Price" measure="1" displayFolder="" measureGroup="Prices" count="0"/>
    <cacheHierarchy uniqueName="[Measures].[Px YTD]" caption="Px YTD" measure="1" displayFolder="" measureGroup="Prices" count="0"/>
    <cacheHierarchy uniqueName="[Measures].[Weight]" caption="Weight" measure="1" displayFolder="" measureGroup="Portfolio" count="0"/>
    <cacheHierarchy uniqueName="[Measures].[Portfolio Price]" caption="Portfolio Price" measure="1" displayFolder="" measureGroup="Portfolio" count="0"/>
    <cacheHierarchy uniqueName="[Measures].[Volume]" caption="Volume" measure="1" displayFolder="" measureGroup="Portfolio" count="0"/>
    <cacheHierarchy uniqueName="[Measures].[Weight In BM]" caption="Weight In BM" measure="1" displayFolder="" measureGroup="Portfolio" count="0"/>
    <cacheHierarchy uniqueName="[Measures].[OWUW]" caption="OWUW" measure="1" displayFolder="" measureGroup="Portfolio" count="0"/>
    <cacheHierarchy uniqueName="[Measures].[Req Yield Weight]" caption="Req Yield Weight" measure="1" displayFolder="" measureGroup="Portfolio" count="0"/>
    <cacheHierarchy uniqueName="[Measures].[Upside]" caption="Upside" measure="1" displayFolder="Per Share" measureGroup="Company" count="0"/>
    <cacheHierarchy uniqueName="[Measures].[RecuiredYeld]" caption="RecuiredYeld" measure="1" displayFolder="Per Share" measureGroup="Company" count="0"/>
    <cacheHierarchy uniqueName="[Measures].[Expansion Capex]" caption="Expansion Capex" measure="1" displayFolder="CF" measureGroup="Company" count="0"/>
    <cacheHierarchy uniqueName="[Measures].[NetDebt to EBITDA]" caption="NetDebt to EBITDA" measure="1" displayFolder="Multiples" measureGroup="Company" count="0"/>
    <cacheHierarchy uniqueName="[Measures].[FCFs]" caption="FCFs" measure="1" displayFolder="CF" measureGroup="Company" count="0"/>
    <cacheHierarchy uniqueName="[Measures].[FCFs Prev]" caption="FCFs Prev" measure="1" displayFolder="CF" measureGroup="Company" count="0"/>
    <cacheHierarchy uniqueName="[Measures].[FCFE]" caption="FCFE" measure="1" displayFolder="CF" measureGroup="Company" count="0"/>
    <cacheHierarchy uniqueName="[Measures].[FCFs PS]" caption="FCFs PS" measure="1" displayFolder="Per Share" measureGroup="Company" count="0"/>
    <cacheHierarchy uniqueName="[Measures].[Target FCFs Yield]" caption="Target FCFs Yield" measure="1" displayFolder="Per Share" measureGroup="Company" count="0"/>
    <cacheHierarchy uniqueName="[Measures].[FCFs Yield]" caption="FCFs Yield" measure="1" displayFolder="Per Share" measureGroup="Company" count="0"/>
    <cacheHierarchy uniqueName="[Measures].[FCFs PS Error]" caption="FCFs PS Error" measure="1" displayFolder="Per Share" measureGroup="Company" count="0"/>
    <cacheHierarchy uniqueName="[Measures].[LFCF PS_OLD]" caption="LFCF PS_OLD" measure="1" displayFolder="Per Share" measureGroup="Company" count="0" hidden="1"/>
    <cacheHierarchy uniqueName="[Measures].[FCFs Yield_OLD]" caption="FCFs Yield_OLD" measure="1" displayFolder="Multiples" measureGroup="Company" count="0" hidden="1"/>
    <cacheHierarchy uniqueName="[Measures].[v Ansys Fact Company Fond Count]" caption="v Ansys Fact Company Fond Count" measure="1" displayFolder="" measureGroup="v Ansys Fact Company Fond" count="0" hidden="1"/>
    <cacheHierarchy uniqueName="[Measures].[v Ansys Fact Quote Fond Count]" caption="v Ansys Fact Quote Fond Count" measure="1" displayFolder="" measureGroup="v Ansys Fact Quote Fond" count="0" hidden="1"/>
    <cacheHierarchy uniqueName="[Measures].[PartnerPE]" caption="PartnerPE" measure="1" displayFolder="" measureGroup="t Ansys Fact Partner" count="0" hidden="1"/>
    <cacheHierarchy uniqueName="[Measures].[PartnerPB]" caption="PartnerPB" measure="1" displayFolder="" measureGroup="t Ansys Fact Partner" count="0" hidden="1"/>
    <cacheHierarchy uniqueName="[Measures].[PartnerDivYield]" caption="PartnerDivYield" measure="1" displayFolder="" measureGroup="t Ansys Fact Partner" count="0" hidden="1"/>
    <cacheHierarchy uniqueName="[Measures].[PartnerEVEBITDA]" caption="PartnerEVEBITDA" measure="1" displayFolder="" measureGroup="t Ansys Fact Partner" count="0" hidden="1"/>
    <cacheHierarchy uniqueName="[Measures].[Ansys Fact Fond EP Schange]" caption="Ansys Fact Fond EP Schange" measure="1" displayFolder="" measureGroup="t Ansys Fact Fond" count="0" hidden="1"/>
  </cacheHierarchies>
  <kpis count="0"/>
  <dimensions count="6">
    <dimension name="Currency" uniqueName="[Currency]" caption="Currency"/>
    <dimension name="Fund" uniqueName="[Fund]" caption="Fund"/>
    <dimension measure="1" name="Measures" uniqueName="[Measures]" caption="Measures"/>
    <dimension name="Security" uniqueName="[Security]" caption="Security"/>
    <dimension name="Year" uniqueName="[Year]" caption="Year"/>
    <dimension name="YMD Date" uniqueName="[YMD Date]" caption="YMD Date"/>
  </dimensions>
  <measureGroups count="7">
    <measureGroup name="Company" caption="Company"/>
    <measureGroup name="Portfolio" caption="Portfolio"/>
    <measureGroup name="Prices" caption="Prices"/>
    <measureGroup name="t Ansys Fact Fond" caption="t Ansys Fact Fond"/>
    <measureGroup name="t Ansys Fact Partner" caption="t Ansys Fact Partner"/>
    <measureGroup name="v Ansys Fact Company Fond" caption="v Ansys Fact Company Fond"/>
    <measureGroup name="v Ansys Fact Quote Fond" caption="v Ansys Fact Quote Fond"/>
  </measureGroups>
  <maps count="34">
    <map measureGroup="0" dimension="0"/>
    <map measureGroup="0" dimension="1"/>
    <map measureGroup="0" dimension="3"/>
    <map measureGroup="0" dimension="4"/>
    <map measureGroup="0" dimension="5"/>
    <map measureGroup="1" dimension="0"/>
    <map measureGroup="1" dimension="1"/>
    <map measureGroup="1" dimension="3"/>
    <map measureGroup="1" dimension="4"/>
    <map measureGroup="1" dimension="5"/>
    <map measureGroup="2" dimension="0"/>
    <map measureGroup="2" dimension="1"/>
    <map measureGroup="2" dimension="3"/>
    <map measureGroup="2" dimension="4"/>
    <map measureGroup="2" dimension="5"/>
    <map measureGroup="3" dimension="0"/>
    <map measureGroup="3" dimension="1"/>
    <map measureGroup="3" dimension="4"/>
    <map measureGroup="3" dimension="5"/>
    <map measureGroup="4" dimension="0"/>
    <map measureGroup="4" dimension="1"/>
    <map measureGroup="4" dimension="3"/>
    <map measureGroup="4" dimension="4"/>
    <map measureGroup="4" dimension="5"/>
    <map measureGroup="5" dimension="0"/>
    <map measureGroup="5" dimension="1"/>
    <map measureGroup="5" dimension="3"/>
    <map measureGroup="5" dimension="4"/>
    <map measureGroup="5" dimension="5"/>
    <map measureGroup="6" dimension="0"/>
    <map measureGroup="6" dimension="1"/>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2" cacheId="128" dataOnRows="1" applyNumberFormats="0" applyBorderFormats="0" applyFontFormats="0" applyPatternFormats="0" applyAlignmentFormats="0" applyWidthHeightFormats="1" dataCaption="Значения" updatedVersion="4" minRefreshableVersion="3" useAutoFormatting="1" subtotalHiddenItems="1" colGrandTotals="0" itemPrintTitles="1" createdVersion="4" indent="0" outline="1" outlineData="1" multipleFieldFilters="0" fieldListSortAscending="1">
  <location ref="A136:Q146" firstHeaderRow="1" firstDataRow="2" firstDataCol="1" rowPageCount="1" colPageCount="1"/>
  <pivotFields count="17">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17">
        <item s="1" x="0"/>
        <item s="1" x="1"/>
        <item s="1" x="2"/>
        <item s="1" x="3"/>
        <item s="1" x="4"/>
        <item s="1" x="5"/>
        <item s="1" x="6"/>
        <item s="1" x="7"/>
        <item s="1" x="8"/>
        <item s="1" x="9"/>
        <item s="1" x="10"/>
        <item s="1" x="11"/>
        <item s="1" x="12"/>
        <item s="1" x="13"/>
        <item s="1" x="14"/>
        <item s="1" x="15"/>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9">
    <i>
      <x/>
    </i>
    <i i="1">
      <x v="1"/>
    </i>
    <i i="2">
      <x v="2"/>
    </i>
    <i i="3">
      <x v="3"/>
    </i>
    <i i="4">
      <x v="4"/>
    </i>
    <i i="5">
      <x v="5"/>
    </i>
    <i i="6">
      <x v="6"/>
    </i>
    <i i="7">
      <x v="7"/>
    </i>
    <i i="8">
      <x v="8"/>
    </i>
  </rowItems>
  <colFields count="1">
    <field x="7"/>
  </colFields>
  <colItems count="16">
    <i>
      <x/>
    </i>
    <i>
      <x v="1"/>
    </i>
    <i>
      <x v="2"/>
    </i>
    <i>
      <x v="3"/>
    </i>
    <i>
      <x v="4"/>
    </i>
    <i>
      <x v="5"/>
    </i>
    <i>
      <x v="6"/>
    </i>
    <i>
      <x v="7"/>
    </i>
    <i>
      <x v="8"/>
    </i>
    <i>
      <x v="9"/>
    </i>
    <i>
      <x v="10"/>
    </i>
    <i>
      <x v="11"/>
    </i>
    <i>
      <x v="12"/>
    </i>
    <i>
      <x v="13"/>
    </i>
    <i>
      <x v="14"/>
    </i>
    <i>
      <x v="15"/>
    </i>
  </colItems>
  <pageFields count="1">
    <pageField fld="0" hier="8" name="[Security].[Security].&amp;[26343]" cap="Akron"/>
  </pageFields>
  <dataFields count="9">
    <dataField fld="8" baseField="0" baseItem="0"/>
    <dataField fld="9" baseField="0" baseItem="0"/>
    <dataField fld="10" baseField="0" baseItem="0"/>
    <dataField fld="11" baseField="0" baseItem="0"/>
    <dataField fld="12" baseField="0" baseItem="0"/>
    <dataField fld="13" baseField="0" baseItem="0"/>
    <dataField fld="14" baseField="0" baseItem="0"/>
    <dataField fld="15" baseField="0" baseItem="0"/>
    <dataField fld="16" baseField="0" baseItem="0"/>
  </dataFields>
  <formats count="3">
    <format dxfId="2">
      <pivotArea outline="0" collapsedLevelsAreSubtotals="1" fieldPosition="0"/>
    </format>
    <format dxfId="1">
      <pivotArea collapsedLevelsAreSubtotals="1" fieldPosition="0">
        <references count="1">
          <reference field="4294967294" count="1">
            <x v="2"/>
          </reference>
        </references>
      </pivotArea>
    </format>
    <format dxfId="0">
      <pivotArea collapsedLevelsAreSubtotals="1" fieldPosition="0">
        <references count="1">
          <reference field="4294967294" count="1">
            <x v="3"/>
          </reference>
        </references>
      </pivotArea>
    </format>
  </formats>
  <pivotHierarchies count="139">
    <pivotHierarchy/>
    <pivotHierarchy/>
    <pivotHierarchy/>
    <pivotHierarchy/>
    <pivotHierarchy/>
    <pivotHierarchy/>
    <pivotHierarchy/>
    <pivotHierarchy/>
    <pivotHierarchy>
      <mps count="6">
        <mp field="1"/>
        <mp field="2"/>
        <mp field="3"/>
        <mp field="4"/>
        <mp field="5"/>
        <mp field="6"/>
      </mps>
    </pivotHierarchy>
    <pivotHierarchy/>
    <pivotHierarchy/>
    <pivotHierarchy/>
    <pivotHierarchy/>
    <pivotHierarchy/>
    <pivotHierarchy/>
    <pivotHierarchy>
      <members count="29" level="1">
        <member name=""/>
        <member name=""/>
        <member name=""/>
        <member name=""/>
        <member name=""/>
        <member name=""/>
        <member name=""/>
        <member name=""/>
        <member name=""/>
        <member name=""/>
        <member name=""/>
        <member name=""/>
        <member name=""/>
        <member name=""/>
        <member name=""/>
        <member name=""/>
        <member name="[Year].[Year].&amp;[2021]"/>
        <member name="[Year].[Year].&amp;[2022]"/>
        <member name="[Year].[Year].&amp;[2023]"/>
        <member name="[Year].[Year].&amp;[2024]"/>
        <member name="[Year].[Year].&amp;[2025]"/>
        <member name="[Year].[Year].&amp;[2026]"/>
        <member name="[Year].[Year].&amp;[2027]"/>
        <member name="[Year].[Year].&amp;[2028]"/>
        <member name="[Year].[Year].&amp;[2029]"/>
        <member name="[Year].[Year].&amp;[2030]"/>
        <member name="[Year].[Year].&amp;[2031]"/>
        <member name="[Year].[Year].&amp;[2032]"/>
        <member name="[Year].[Year].&amp;[2033]"/>
      </members>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enableEdit="1" hideValuesRow="1">
        <x14:pivotEdits>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[Year].[Year].&amp;[2010]</x14:tupleItem>
            </x14:tupleItems>
            <x14:pivotArea type="data" collapsedLevelsAreSubtotals="1" fieldPosition="0">
              <references count="3">
                <reference field="4294967294" count="1">
                  <x v="3"/>
                </reference>
                <reference field="0" count="0" selected="0"/>
                <reference field="7" count="1" selected="0">
                  <x v="5"/>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[Year].[Year].&amp;[2011]</x14:tupleItem>
            </x14:tupleItems>
            <x14:pivotArea type="data" collapsedLevelsAreSubtotals="1" fieldPosition="0">
              <references count="3">
                <reference field="4294967294" count="1">
                  <x v="3"/>
                </reference>
                <reference field="0" count="0" selected="0"/>
                <reference field="7" count="1" selected="0">
                  <x v="6"/>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[Year].[Year].&amp;[2012]</x14:tupleItem>
            </x14:tupleItems>
            <x14:pivotArea type="data" collapsedLevelsAreSubtotals="1" fieldPosition="0">
              <references count="3">
                <reference field="4294967294" count="1">
                  <x v="3"/>
                </reference>
                <reference field="0" count="0" selected="0"/>
                <reference field="7" count="1" selected="0">
                  <x v="7"/>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[Year].[Year].&amp;[2013]</x14:tupleItem>
            </x14:tupleItems>
            <x14:pivotArea type="data" collapsedLevelsAreSubtotals="1" fieldPosition="0">
              <references count="3">
                <reference field="4294967294" count="1">
                  <x v="3"/>
                </reference>
                <reference field="0" count="0" selected="0"/>
                <reference field="7" count="1" selected="0">
                  <x v="8"/>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[Year].[Year].&amp;[2014]</x14:tupleItem>
            </x14:tupleItems>
            <x14:pivotArea type="data" collapsedLevelsAreSubtotals="1" fieldPosition="0">
              <references count="3">
                <reference field="4294967294" count="1">
                  <x v="3"/>
                </reference>
                <reference field="0" count="0" selected="0"/>
                <reference field="7" count="1" selected="0">
                  <x v="9"/>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[Year].[Year].&amp;[2015]</x14:tupleItem>
            </x14:tupleItems>
            <x14:pivotArea type="data" collapsedLevelsAreSubtotals="1" fieldPosition="0">
              <references count="3">
                <reference field="4294967294" count="1">
                  <x v="3"/>
                </reference>
                <reference field="0" count="0" selected="0"/>
                <reference field="7" count="1" selected="0">
                  <x v="10"/>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[Year].[Year].&amp;[2016]</x14:tupleItem>
            </x14:tupleItems>
            <x14:pivotArea type="data" collapsedLevelsAreSubtotals="1" fieldPosition="0">
              <references count="3">
                <reference field="4294967294" count="1">
                  <x v="3"/>
                </reference>
                <reference field="0" count="0" selected="0"/>
                <reference field="7" count="1" selected="0">
                  <x v="11"/>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[Year].[Year].&amp;[2017]</x14:tupleItem>
            </x14:tupleItems>
            <x14:pivotArea type="data" collapsedLevelsAreSubtotals="1" fieldPosition="0">
              <references count="3">
                <reference field="4294967294" count="1">
                  <x v="3"/>
                </reference>
                <reference field="0" count="0" selected="0"/>
                <reference field="7" count="1" selected="0">
                  <x v="12"/>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[Year].[Year].&amp;[2018]</x14:tupleItem>
            </x14:tupleItems>
            <x14:pivotArea type="data" collapsedLevelsAreSubtotals="1" fieldPosition="0">
              <references count="3">
                <reference field="4294967294" count="1">
                  <x v="3"/>
                </reference>
                <reference field="0" count="0" selected="0"/>
                <reference field="7" count="1" selected="0">
                  <x v="13"/>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[Year].[Year].&amp;[2019]</x14:tupleItem>
            </x14:tupleItems>
            <x14:pivotArea type="data" collapsedLevelsAreSubtotals="1" fieldPosition="0">
              <references count="3">
                <reference field="4294967294" count="1">
                  <x v="3"/>
                </reference>
                <reference field="0" count="0" selected="0"/>
                <reference field="7" count="1" selected="0">
                  <x v="14"/>
                </reference>
              </references>
            </x14:pivotArea>
          </x14:pivotEdit>
          <x14:pivotEdit>
            <x14:userEdit>
              <xm:f>'\Users\r.muchipov\Desktop\[Rosneft_model_adj.xlsx]Cover'!142:142*(1+'\Users\r.muchipov\Desktop\[Rosneft_model_adj.xlsx]Cover'!144:144*(1-'\Users\r.muchipov\Desktop\[Rosneft_model_adj.xlsx]Cover'!145:145))</xm:f>
            </x14:userEdit>
            <x14:tupleItems>
              <x14:tupleItem>[Measures].[Beta Levered]</x14:tupleItem>
              <x14:tupleItem>[Security].[Security].&amp;[26581]</x14:tupleItem>
              <x14:tupleItem>[Year].[Year].&amp;[2020]</x14:tupleItem>
            </x14:tupleItems>
            <x14:pivotArea type="data" collapsedLevelsAreSubtotals="1" fieldPosition="0">
              <references count="3">
                <reference field="4294967294" count="1">
                  <x v="3"/>
                </reference>
                <reference field="0" count="0" selected="0"/>
                <reference field="7" count="1" selected="0">
                  <x v="15"/>
                </reference>
              </references>
            </x14:pivotArea>
          </x14:pivotEdit>
          <x14:pivotEdit>
            <x14:userEdit>
              <xm:f>AVERAGE('\Users\r.muchipov\Desktop\[Rosneft_model_adj.xlsx]Cover'!H129:I129)/'\Users\r.muchipov\Desktop\[Rosneft_model_adj.xlsx]Cover'!127:127</xm:f>
            </x14:userEdit>
            <x14:tupleItems>
              <x14:tupleItem>[Measures].[De]</x14:tupleItem>
              <x14:tupleItem>[Security].[Security].&amp;[26581]</x14:tupleItem>
              <x14:tupleItem>[Year].[Year].&amp;[2010]</x14:tupleItem>
            </x14:tupleItems>
            <x14:pivotArea type="data" collapsedLevelsAreSubtotals="1" fieldPosition="0">
              <references count="3">
                <reference field="4294967294" count="1">
                  <x v="4"/>
                </reference>
                <reference field="0" count="0" selected="0"/>
                <reference field="7" count="1" selected="0">
                  <x v="5"/>
                </reference>
              </references>
            </x14:pivotArea>
          </x14:pivotEdit>
          <x14:pivotEdit>
            <x14:userEdit>
              <xm:f>AVERAGE('\Users\r.muchipov\Desktop\[Rosneft_model_adj.xlsx]Cover'!I129:J129)/'\Users\r.muchipov\Desktop\[Rosneft_model_adj.xlsx]Cover'!127:127</xm:f>
            </x14:userEdit>
            <x14:tupleItems>
              <x14:tupleItem>[Measures].[De]</x14:tupleItem>
              <x14:tupleItem>[Security].[Security].&amp;[26581]</x14:tupleItem>
              <x14:tupleItem>[Year].[Year].&amp;[2011]</x14:tupleItem>
            </x14:tupleItems>
            <x14:pivotArea type="data" collapsedLevelsAreSubtotals="1" fieldPosition="0">
              <references count="3">
                <reference field="4294967294" count="1">
                  <x v="4"/>
                </reference>
                <reference field="0" count="0" selected="0"/>
                <reference field="7" count="1" selected="0">
                  <x v="6"/>
                </reference>
              </references>
            </x14:pivotArea>
          </x14:pivotEdit>
          <x14:pivotEdit>
            <x14:userEdit>
              <xm:f>AVERAGE('\Users\r.muchipov\Desktop\[Rosneft_model_adj.xlsx]Cover'!J129:K129)/'\Users\r.muchipov\Desktop\[Rosneft_model_adj.xlsx]Cover'!127:127</xm:f>
            </x14:userEdit>
            <x14:tupleItems>
              <x14:tupleItem>[Measures].[De]</x14:tupleItem>
              <x14:tupleItem>[Security].[Security].&amp;[26581]</x14:tupleItem>
              <x14:tupleItem>[Year].[Year].&amp;[2012]</x14:tupleItem>
            </x14:tupleItems>
            <x14:pivotArea type="data" collapsedLevelsAreSubtotals="1" fieldPosition="0">
              <references count="3">
                <reference field="4294967294" count="1">
                  <x v="4"/>
                </reference>
                <reference field="0" count="0" selected="0"/>
                <reference field="7" count="1" selected="0">
                  <x v="7"/>
                </reference>
              </references>
            </x14:pivotArea>
          </x14:pivotEdit>
          <x14:pivotEdit>
            <x14:userEdit>
              <xm:f>AVERAGE('\Users\r.muchipov\Desktop\[Rosneft_model_adj.xlsx]Cover'!K129:L129)/'\Users\r.muchipov\Desktop\[Rosneft_model_adj.xlsx]Cover'!127:127</xm:f>
            </x14:userEdit>
            <x14:tupleItems>
              <x14:tupleItem>[Measures].[De]</x14:tupleItem>
              <x14:tupleItem>[Security].[Security].&amp;[26581]</x14:tupleItem>
              <x14:tupleItem>[Year].[Year].&amp;[2013]</x14:tupleItem>
            </x14:tupleItems>
            <x14:pivotArea type="data" collapsedLevelsAreSubtotals="1" fieldPosition="0">
              <references count="3">
                <reference field="4294967294" count="1">
                  <x v="4"/>
                </reference>
                <reference field="0" count="0" selected="0"/>
                <reference field="7" count="1" selected="0">
                  <x v="8"/>
                </reference>
              </references>
            </x14:pivotArea>
          </x14:pivotEdit>
          <x14:pivotEdit>
            <x14:userEdit>
              <xm:f>AVERAGE('\Users\r.muchipov\Desktop\[Rosneft_model_adj.xlsx]Cover'!L129:M129)/'\Users\r.muchipov\Desktop\[Rosneft_model_adj.xlsx]Cover'!127:127</xm:f>
            </x14:userEdit>
            <x14:tupleItems>
              <x14:tupleItem>[Measures].[De]</x14:tupleItem>
              <x14:tupleItem>[Security].[Security].&amp;[26581]</x14:tupleItem>
              <x14:tupleItem>[Year].[Year].&amp;[2014]</x14:tupleItem>
            </x14:tupleItems>
            <x14:pivotArea type="data" collapsedLevelsAreSubtotals="1" fieldPosition="0">
              <references count="3">
                <reference field="4294967294" count="1">
                  <x v="4"/>
                </reference>
                <reference field="0" count="0" selected="0"/>
                <reference field="7" count="1" selected="0">
                  <x v="9"/>
                </reference>
              </references>
            </x14:pivotArea>
          </x14:pivotEdit>
          <x14:pivotEdit>
            <x14:userEdit>
              <xm:f>AVERAGE('\Users\r.muchipov\Desktop\[Rosneft_model_adj.xlsx]Cover'!M129:N129)/'\Users\r.muchipov\Desktop\[Rosneft_model_adj.xlsx]Cover'!127:127</xm:f>
            </x14:userEdit>
            <x14:tupleItems>
              <x14:tupleItem>[Measures].[De]</x14:tupleItem>
              <x14:tupleItem>[Security].[Security].&amp;[26581]</x14:tupleItem>
              <x14:tupleItem>[Year].[Year].&amp;[2015]</x14:tupleItem>
            </x14:tupleItems>
            <x14:pivotArea type="data" collapsedLevelsAreSubtotals="1" fieldPosition="0">
              <references count="3">
                <reference field="4294967294" count="1">
                  <x v="4"/>
                </reference>
                <reference field="0" count="0" selected="0"/>
                <reference field="7" count="1" selected="0">
                  <x v="10"/>
                </reference>
              </references>
            </x14:pivotArea>
          </x14:pivotEdit>
          <x14:pivotEdit>
            <x14:userEdit>
              <xm:f>AVERAGE('\Users\r.muchipov\Desktop\[Rosneft_model_adj.xlsx]Cover'!N129:O129)/'\Users\r.muchipov\Desktop\[Rosneft_model_adj.xlsx]Cover'!127:127</xm:f>
            </x14:userEdit>
            <x14:tupleItems>
              <x14:tupleItem>[Measures].[De]</x14:tupleItem>
              <x14:tupleItem>[Security].[Security].&amp;[26581]</x14:tupleItem>
              <x14:tupleItem>[Year].[Year].&amp;[2016]</x14:tupleItem>
            </x14:tupleItems>
            <x14:pivotArea type="data" collapsedLevelsAreSubtotals="1" fieldPosition="0">
              <references count="3">
                <reference field="4294967294" count="1">
                  <x v="4"/>
                </reference>
                <reference field="0" count="0" selected="0"/>
                <reference field="7" count="1" selected="0">
                  <x v="11"/>
                </reference>
              </references>
            </x14:pivotArea>
          </x14:pivotEdit>
          <x14:pivotEdit>
            <x14:userEdit>
              <xm:f>AVERAGE('\Users\r.muchipov\Desktop\[Rosneft_model_adj.xlsx]Cover'!O129:P129)/'\Users\r.muchipov\Desktop\[Rosneft_model_adj.xlsx]Cover'!127:127</xm:f>
            </x14:userEdit>
            <x14:tupleItems>
              <x14:tupleItem>[Measures].[De]</x14:tupleItem>
              <x14:tupleItem>[Security].[Security].&amp;[26581]</x14:tupleItem>
              <x14:tupleItem>[Year].[Year].&amp;[2017]</x14:tupleItem>
            </x14:tupleItems>
            <x14:pivotArea type="data" collapsedLevelsAreSubtotals="1" fieldPosition="0">
              <references count="3">
                <reference field="4294967294" count="1">
                  <x v="4"/>
                </reference>
                <reference field="0" count="0" selected="0"/>
                <reference field="7" count="1" selected="0">
                  <x v="12"/>
                </reference>
              </references>
            </x14:pivotArea>
          </x14:pivotEdit>
          <x14:pivotEdit>
            <x14:userEdit>
              <xm:f>AVERAGE('\Users\r.muchipov\Desktop\[Rosneft_model_adj.xlsx]Cover'!P129:Q129)/'\Users\r.muchipov\Desktop\[Rosneft_model_adj.xlsx]Cover'!127:127</xm:f>
            </x14:userEdit>
            <x14:tupleItems>
              <x14:tupleItem>[Measures].[De]</x14:tupleItem>
              <x14:tupleItem>[Security].[Security].&amp;[26581]</x14:tupleItem>
              <x14:tupleItem>[Year].[Year].&amp;[2018]</x14:tupleItem>
            </x14:tupleItems>
            <x14:pivotArea type="data" collapsedLevelsAreSubtotals="1" fieldPosition="0">
              <references count="3">
                <reference field="4294967294" count="1">
                  <x v="4"/>
                </reference>
                <reference field="0" count="0" selected="0"/>
                <reference field="7" count="1" selected="0">
                  <x v="13"/>
                </reference>
              </references>
            </x14:pivotArea>
          </x14:pivotEdit>
          <x14:pivotEdit>
            <x14:userEdit>
              <xm:f>AVERAGE('\Users\r.muchipov\Desktop\[Rosneft_model_adj.xlsx]Cover'!Q129:R129)/'\Users\r.muchipov\Desktop\[Rosneft_model_adj.xlsx]Cover'!127:127</xm:f>
            </x14:userEdit>
            <x14:tupleItems>
              <x14:tupleItem>[Measures].[De]</x14:tupleItem>
              <x14:tupleItem>[Security].[Security].&amp;[26581]</x14:tupleItem>
              <x14:tupleItem>[Year].[Year].&amp;[2019]</x14:tupleItem>
            </x14:tupleItems>
            <x14:pivotArea type="data" collapsedLevelsAreSubtotals="1" fieldPosition="0">
              <references count="3">
                <reference field="4294967294" count="1">
                  <x v="4"/>
                </reference>
                <reference field="0" count="0" selected="0"/>
                <reference field="7" count="1" selected="0">
                  <x v="14"/>
                </reference>
              </references>
            </x14:pivotArea>
          </x14:pivotEdit>
          <x14:pivotEdit>
            <x14:userEdit>
              <xm:f>AVERAGE('\Users\r.muchipov\Desktop\[Rosneft_model_adj.xlsx]Cover'!R129:S129)/'\Users\r.muchipov\Desktop\[Rosneft_model_adj.xlsx]Cover'!127:127</xm:f>
            </x14:userEdit>
            <x14:tupleItems>
              <x14:tupleItem>[Measures].[De]</x14:tupleItem>
              <x14:tupleItem>[Security].[Security].&amp;[26581]</x14:tupleItem>
              <x14:tupleItem>[Year].[Year].&amp;[2020]</x14:tupleItem>
            </x14:tupleItems>
            <x14:pivotArea type="data" collapsedLevelsAreSubtotals="1" fieldPosition="0">
              <references count="3">
                <reference field="4294967294" count="1">
                  <x v="4"/>
                </reference>
                <reference field="0" count="0" selected="0"/>
                <reference field="7" count="1" selected="0">
                  <x v="15"/>
                </reference>
              </references>
            </x14:pivotArea>
          </x14:pivotEdit>
          <x14:pivotEdit>
            <x14:userEdit>
              <xm:f>'\Users\r.muchipov\Desktop\[Rosneft_model_adj.xlsx]Cover'!O149</xm:f>
            </x14:userEdit>
            <x14:tupleItems>
              <x14:tupleItem>[Measures].[Req Yield]</x14:tupleItem>
              <x14:tupleItem>[Security].[Security].&amp;[26581]</x14:tupleItem>
              <x14:tupleItem>[Year].[Year].&amp;[2016]</x14:tupleItem>
            </x14:tupleItems>
            <x14:pivotArea type="data" collapsedLevelsAreSubtotals="1" fieldPosition="0">
              <references count="3">
                <reference field="4294967294" count="1">
                  <x v="8"/>
                </reference>
                <reference field="0" count="0" selected="0"/>
                <reference field="7" count="1" selected="0">
                  <x v="11"/>
                </reference>
              </references>
            </x14:pivotArea>
          </x14:pivotEdit>
          <x14:pivotEdit>
            <x14:userEdit>
              <xm:f>'\Users\r.muchipov\Desktop\[Rosneft_model_adj.xlsx]Cover'!P149</xm:f>
            </x14:userEdit>
            <x14:tupleItems>
              <x14:tupleItem>[Measures].[Req Yield]</x14:tupleItem>
              <x14:tupleItem>[Security].[Security].&amp;[26581]</x14:tupleItem>
              <x14:tupleItem>[Year].[Year].&amp;[2017]</x14:tupleItem>
            </x14:tupleItems>
            <x14:pivotArea type="data" collapsedLevelsAreSubtotals="1" fieldPosition="0">
              <references count="3">
                <reference field="4294967294" count="1">
                  <x v="8"/>
                </reference>
                <reference field="0" count="0" selected="0"/>
                <reference field="7" count="1" selected="0">
                  <x v="12"/>
                </reference>
              </references>
            </x14:pivotArea>
          </x14:pivotEdit>
          <x14:pivotEdit>
            <x14:userEdit>
              <xm:f>'\Users\r.muchipov\Desktop\[Rosneft_model_adj.xlsx]Cover'!Q149</xm:f>
            </x14:userEdit>
            <x14:tupleItems>
              <x14:tupleItem>[Measures].[Req Yield]</x14:tupleItem>
              <x14:tupleItem>[Security].[Security].&amp;[26581]</x14:tupleItem>
              <x14:tupleItem>[Year].[Year].&amp;[2018]</x14:tupleItem>
            </x14:tupleItems>
            <x14:pivotArea type="data" collapsedLevelsAreSubtotals="1" fieldPosition="0">
              <references count="3">
                <reference field="4294967294" count="1">
                  <x v="8"/>
                </reference>
                <reference field="0" count="0" selected="0"/>
                <reference field="7" count="1" selected="0">
                  <x v="13"/>
                </reference>
              </references>
            </x14:pivotArea>
          </x14:pivotEdit>
          <x14:pivotEdit>
            <x14:userEdit>
              <xm:f>'\Users\r.muchipov\Desktop\[Rosneft_model_adj.xlsx]Cover'!R149</xm:f>
            </x14:userEdit>
            <x14:tupleItems>
              <x14:tupleItem>[Measures].[Req Yield]</x14:tupleItem>
              <x14:tupleItem>[Security].[Security].&amp;[26581]</x14:tupleItem>
              <x14:tupleItem>[Year].[Year].&amp;[2019]</x14:tupleItem>
            </x14:tupleItems>
            <x14:pivotArea type="data" collapsedLevelsAreSubtotals="1" fieldPosition="0">
              <references count="3">
                <reference field="4294967294" count="1">
                  <x v="8"/>
                </reference>
                <reference field="0" count="0" selected="0"/>
                <reference field="7" count="1" selected="0">
                  <x v="14"/>
                </reference>
              </references>
            </x14:pivotArea>
          </x14:pivotEdit>
          <x14:pivotEdit>
            <x14:userEdit>
              <xm:f>'\Users\r.muchipov\Desktop\[Rosneft_model_adj.xlsx]Cover'!S149</xm:f>
            </x14:userEdit>
            <x14:tupleItems>
              <x14:tupleItem>[Measures].[Req Yield]</x14:tupleItem>
              <x14:tupleItem>[Security].[Security].&amp;[26581]</x14:tupleItem>
              <x14:tupleItem>[Year].[Year].&amp;[2020]</x14:tupleItem>
            </x14:tupleItems>
            <x14:pivotArea type="data" collapsedLevelsAreSubtotals="1" fieldPosition="0">
              <references count="3">
                <reference field="4294967294" count="1">
                  <x v="8"/>
                </reference>
                <reference field="0" count="0" selected="0"/>
                <reference field="7" count="1" selected="0">
                  <x v="15"/>
                </reference>
              </references>
            </x14:pivotArea>
          </x14:pivotEdit>
          <x14:pivotEdit>
            <x14:userEdit>
              <xm:f>'\Users\r.muchipov\Desktop\[Rosneft_model_adj.xlsx]Cover'!I149</xm:f>
            </x14:userEdit>
            <x14:tupleItems>
              <x14:tupleItem>[Measures].[Req Yield]</x14:tupleItem>
              <x14:tupleItem>[Security].[Security].&amp;[26581]</x14:tupleItem>
              <x14:tupleItem>[Year].[Year].&amp;[2010]</x14:tupleItem>
            </x14:tupleItems>
            <x14:pivotArea type="data" collapsedLevelsAreSubtotals="1" fieldPosition="0">
              <references count="3">
                <reference field="4294967294" count="1">
                  <x v="8"/>
                </reference>
                <reference field="0" count="0" selected="0"/>
                <reference field="7" count="1" selected="0">
                  <x v="5"/>
                </reference>
              </references>
            </x14:pivotArea>
          </x14:pivotEdit>
          <x14:pivotEdit>
            <x14:userEdit>
              <xm:f>'\Users\r.muchipov\Desktop\[Rosneft_model_adj.xlsx]Cover'!J149</xm:f>
            </x14:userEdit>
            <x14:tupleItems>
              <x14:tupleItem>[Measures].[Req Yield]</x14:tupleItem>
              <x14:tupleItem>[Security].[Security].&amp;[26581]</x14:tupleItem>
              <x14:tupleItem>[Year].[Year].&amp;[2011]</x14:tupleItem>
            </x14:tupleItems>
            <x14:pivotArea type="data" collapsedLevelsAreSubtotals="1" fieldPosition="0">
              <references count="3">
                <reference field="4294967294" count="1">
                  <x v="8"/>
                </reference>
                <reference field="0" count="0" selected="0"/>
                <reference field="7" count="1" selected="0">
                  <x v="6"/>
                </reference>
              </references>
            </x14:pivotArea>
          </x14:pivotEdit>
          <x14:pivotEdit>
            <x14:userEdit>
              <xm:f>'\Users\r.muchipov\Desktop\[Rosneft_model_adj.xlsx]Cover'!K149</xm:f>
            </x14:userEdit>
            <x14:tupleItems>
              <x14:tupleItem>[Measures].[Req Yield]</x14:tupleItem>
              <x14:tupleItem>[Security].[Security].&amp;[26581]</x14:tupleItem>
              <x14:tupleItem>[Year].[Year].&amp;[2012]</x14:tupleItem>
            </x14:tupleItems>
            <x14:pivotArea type="data" collapsedLevelsAreSubtotals="1" fieldPosition="0">
              <references count="3">
                <reference field="4294967294" count="1">
                  <x v="8"/>
                </reference>
                <reference field="0" count="0" selected="0"/>
                <reference field="7" count="1" selected="0">
                  <x v="7"/>
                </reference>
              </references>
            </x14:pivotArea>
          </x14:pivotEdit>
          <x14:pivotEdit>
            <x14:userEdit>
              <xm:f>'\Users\r.muchipov\Desktop\[Rosneft_model_adj.xlsx]Cover'!L149</xm:f>
            </x14:userEdit>
            <x14:tupleItems>
              <x14:tupleItem>[Measures].[Req Yield]</x14:tupleItem>
              <x14:tupleItem>[Security].[Security].&amp;[26581]</x14:tupleItem>
              <x14:tupleItem>[Year].[Year].&amp;[2013]</x14:tupleItem>
            </x14:tupleItems>
            <x14:pivotArea type="data" collapsedLevelsAreSubtotals="1" fieldPosition="0">
              <references count="3">
                <reference field="4294967294" count="1">
                  <x v="8"/>
                </reference>
                <reference field="0" count="0" selected="0"/>
                <reference field="7" count="1" selected="0">
                  <x v="8"/>
                </reference>
              </references>
            </x14:pivotArea>
          </x14:pivotEdit>
          <x14:pivotEdit>
            <x14:userEdit>
              <xm:f>'\Users\r.muchipov\Desktop\[Rosneft_model_adj.xlsx]Cover'!M149</xm:f>
            </x14:userEdit>
            <x14:tupleItems>
              <x14:tupleItem>[Measures].[Req Yield]</x14:tupleItem>
              <x14:tupleItem>[Security].[Security].&amp;[26581]</x14:tupleItem>
              <x14:tupleItem>[Year].[Year].&amp;[2014]</x14:tupleItem>
            </x14:tupleItems>
            <x14:pivotArea type="data" collapsedLevelsAreSubtotals="1" fieldPosition="0">
              <references count="3">
                <reference field="4294967294" count="1">
                  <x v="8"/>
                </reference>
                <reference field="0" count="0" selected="0"/>
                <reference field="7" count="1" selected="0">
                  <x v="9"/>
                </reference>
              </references>
            </x14:pivotArea>
          </x14:pivotEdit>
          <x14:pivotEdit>
            <x14:userEdit>
              <xm:f>'\Users\r.muchipov\Desktop\[Rosneft_model_adj.xlsx]Cover'!N149</xm:f>
            </x14:userEdit>
            <x14:tupleItems>
              <x14:tupleItem>[Measures].[Req Yield]</x14:tupleItem>
              <x14:tupleItem>[Security].[Security].&amp;[26581]</x14:tupleItem>
              <x14:tupleItem>[Year].[Year].&amp;[2015]</x14:tupleItem>
            </x14:tupleItems>
            <x14:pivotArea type="data" collapsedLevelsAreSubtotals="1" fieldPosition="0">
              <references count="3">
                <reference field="4294967294" count="1">
                  <x v="8"/>
                </reference>
                <reference field="0" count="0" selected="0"/>
                <reference field="7" count="1" selected="0">
                  <x v="10"/>
                </reference>
              </references>
            </x14:pivotArea>
          </x14:pivotEdit>
        </x14:pivotEdits>
      </x14:pivotTableDefinition>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arnow.grupaazoty.com/en/relacje/spolka/struktur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tarnow.grupaazoty.com/en/relacje/spolka/struktura"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51"/>
    <pageSetUpPr fitToPage="1"/>
  </sheetPr>
  <dimension ref="A1:U196"/>
  <sheetViews>
    <sheetView showGridLines="0" zoomScale="80" zoomScaleNormal="80" workbookViewId="0">
      <pane xSplit="1" ySplit="1" topLeftCell="B59" activePane="bottomRight" state="frozen"/>
      <selection activeCell="G48" sqref="G48"/>
      <selection pane="topRight" activeCell="G48" sqref="G48"/>
      <selection pane="bottomLeft" activeCell="G48" sqref="G48"/>
      <selection pane="bottomRight" activeCell="U83" sqref="U83"/>
    </sheetView>
  </sheetViews>
  <sheetFormatPr defaultColWidth="9.140625" defaultRowHeight="12"/>
  <cols>
    <col min="1" max="1" width="34.28515625" style="3" customWidth="1"/>
    <col min="2" max="2" width="22.42578125" style="4" customWidth="1"/>
    <col min="3" max="5" width="11.42578125" style="4" customWidth="1"/>
    <col min="6" max="19" width="11.42578125" style="3" customWidth="1"/>
    <col min="20" max="16384" width="9.140625" style="3"/>
  </cols>
  <sheetData>
    <row r="1" spans="1:19" ht="12.75" thickBot="1">
      <c r="A1" s="136" t="s">
        <v>203</v>
      </c>
      <c r="B1" s="135">
        <v>2005</v>
      </c>
      <c r="C1" s="134">
        <v>2006</v>
      </c>
      <c r="D1" s="134">
        <v>2007</v>
      </c>
      <c r="E1" s="134">
        <v>2008</v>
      </c>
      <c r="F1" s="134">
        <v>2009</v>
      </c>
      <c r="G1" s="134">
        <v>2010</v>
      </c>
      <c r="H1" s="134">
        <v>2011</v>
      </c>
      <c r="I1" s="134">
        <v>2012</v>
      </c>
      <c r="J1" s="134">
        <v>2013</v>
      </c>
      <c r="K1" s="134">
        <v>2014</v>
      </c>
      <c r="L1" s="42">
        <v>2015</v>
      </c>
      <c r="M1" s="134">
        <v>2016</v>
      </c>
      <c r="N1" s="42">
        <v>2017</v>
      </c>
      <c r="O1" s="134">
        <v>2018</v>
      </c>
      <c r="P1" s="42">
        <v>2019</v>
      </c>
      <c r="Q1" s="134">
        <v>2020</v>
      </c>
      <c r="R1" s="42">
        <v>2021</v>
      </c>
      <c r="S1" s="42">
        <v>2022</v>
      </c>
    </row>
    <row r="2" spans="1:19" ht="12.75" thickBot="1">
      <c r="A2" s="133"/>
      <c r="B2" s="132"/>
      <c r="C2" s="131"/>
      <c r="D2" s="131"/>
      <c r="E2" s="85"/>
      <c r="F2" s="85"/>
      <c r="G2" s="86"/>
      <c r="H2" s="85"/>
      <c r="I2" s="85"/>
    </row>
    <row r="3" spans="1:19" s="10" customFormat="1" ht="12.75" thickBot="1">
      <c r="A3" s="45" t="s">
        <v>88</v>
      </c>
      <c r="B3" s="69" t="s">
        <v>87</v>
      </c>
      <c r="C3" s="42" t="s">
        <v>86</v>
      </c>
      <c r="D3" s="42" t="s">
        <v>85</v>
      </c>
      <c r="E3" s="85"/>
      <c r="F3" s="88"/>
      <c r="G3" s="86" t="s">
        <v>84</v>
      </c>
      <c r="H3" s="7">
        <v>66</v>
      </c>
      <c r="I3" s="3"/>
      <c r="J3" s="3"/>
      <c r="K3" s="338" t="s">
        <v>271</v>
      </c>
    </row>
    <row r="4" spans="1:19" ht="12" customHeight="1">
      <c r="A4" s="10" t="s">
        <v>83</v>
      </c>
      <c r="B4" s="130" t="s">
        <v>94</v>
      </c>
      <c r="C4" s="129"/>
      <c r="D4" s="85"/>
      <c r="E4" s="95"/>
      <c r="F4" s="47"/>
      <c r="G4" s="86" t="s">
        <v>82</v>
      </c>
      <c r="H4" s="128">
        <f ca="1">TODAY()</f>
        <v>43187</v>
      </c>
      <c r="K4" s="409" t="s">
        <v>286</v>
      </c>
      <c r="L4" s="410"/>
      <c r="M4" s="410"/>
      <c r="N4" s="410"/>
      <c r="O4" s="410"/>
      <c r="P4" s="410"/>
      <c r="Q4" s="411"/>
    </row>
    <row r="5" spans="1:19" ht="15" customHeight="1">
      <c r="A5" s="10" t="s">
        <v>81</v>
      </c>
      <c r="B5" s="127">
        <v>3750</v>
      </c>
      <c r="C5" s="126"/>
      <c r="D5" s="85"/>
      <c r="E5" s="95"/>
      <c r="F5" s="47"/>
      <c r="G5" s="46"/>
      <c r="K5" s="412"/>
      <c r="L5" s="413"/>
      <c r="M5" s="413"/>
      <c r="N5" s="413"/>
      <c r="O5" s="413"/>
      <c r="P5" s="413"/>
      <c r="Q5" s="414"/>
    </row>
    <row r="6" spans="1:19" ht="15.75" customHeight="1" thickBot="1">
      <c r="A6" s="21" t="s">
        <v>80</v>
      </c>
      <c r="B6" s="125">
        <f>B5/USD</f>
        <v>56.81818181818182</v>
      </c>
      <c r="C6" s="124">
        <f>C5/USD</f>
        <v>0</v>
      </c>
      <c r="D6" s="77">
        <f>1-C6/B6</f>
        <v>1</v>
      </c>
      <c r="E6" s="95"/>
      <c r="F6" s="47"/>
      <c r="G6" s="46"/>
      <c r="K6" s="412"/>
      <c r="L6" s="413"/>
      <c r="M6" s="413"/>
      <c r="N6" s="413"/>
      <c r="O6" s="413"/>
      <c r="P6" s="413"/>
      <c r="Q6" s="414"/>
    </row>
    <row r="7" spans="1:19" ht="15.75" customHeight="1" thickBot="1">
      <c r="A7" s="45"/>
      <c r="B7" s="44"/>
      <c r="C7" s="42"/>
      <c r="D7" s="42"/>
      <c r="E7" s="123"/>
      <c r="F7" s="47"/>
      <c r="G7" s="46"/>
      <c r="K7" s="412"/>
      <c r="L7" s="413"/>
      <c r="M7" s="413"/>
      <c r="N7" s="413"/>
      <c r="O7" s="413"/>
      <c r="P7" s="413"/>
      <c r="Q7" s="414"/>
    </row>
    <row r="8" spans="1:19" ht="15">
      <c r="A8" s="122" t="s">
        <v>79</v>
      </c>
      <c r="B8" s="29">
        <f>J20</f>
        <v>40.533999999999999</v>
      </c>
      <c r="C8" s="28"/>
      <c r="D8" s="121">
        <f>Pno/(Cno+Pno)</f>
        <v>0</v>
      </c>
      <c r="E8" s="47"/>
      <c r="F8" s="47"/>
      <c r="G8" s="46"/>
      <c r="K8" s="412"/>
      <c r="L8" s="413"/>
      <c r="M8" s="413"/>
      <c r="N8" s="413"/>
      <c r="O8" s="413"/>
      <c r="P8" s="413"/>
      <c r="Q8" s="414"/>
    </row>
    <row r="9" spans="1:19" ht="15" customHeight="1">
      <c r="A9" s="120" t="s">
        <v>78</v>
      </c>
      <c r="B9" s="19">
        <f>Cno*B10*CP</f>
        <v>23590.788</v>
      </c>
      <c r="C9" s="119">
        <f>Pno*C10*PP</f>
        <v>0</v>
      </c>
      <c r="D9" s="118"/>
      <c r="E9" s="47"/>
      <c r="F9" s="47"/>
      <c r="G9" s="46"/>
      <c r="K9" s="412"/>
      <c r="L9" s="413"/>
      <c r="M9" s="413"/>
      <c r="N9" s="413"/>
      <c r="O9" s="413"/>
      <c r="P9" s="413"/>
      <c r="Q9" s="414"/>
    </row>
    <row r="10" spans="1:19" ht="15">
      <c r="A10" s="58" t="s">
        <v>78</v>
      </c>
      <c r="B10" s="117">
        <v>0.1552</v>
      </c>
      <c r="C10" s="116">
        <v>0</v>
      </c>
      <c r="D10" s="95"/>
      <c r="E10" s="114"/>
      <c r="F10" s="47"/>
      <c r="G10" s="46"/>
      <c r="K10" s="412"/>
      <c r="L10" s="413"/>
      <c r="M10" s="413"/>
      <c r="N10" s="413"/>
      <c r="O10" s="413"/>
      <c r="P10" s="413"/>
      <c r="Q10" s="414"/>
    </row>
    <row r="11" spans="1:19" ht="15" customHeight="1" thickBot="1">
      <c r="A11" s="115"/>
      <c r="B11" s="87"/>
      <c r="C11" s="85"/>
      <c r="D11" s="85"/>
      <c r="E11" s="47"/>
      <c r="F11" s="47"/>
      <c r="G11" s="46"/>
      <c r="K11" s="415"/>
      <c r="L11" s="416"/>
      <c r="M11" s="416"/>
      <c r="N11" s="416"/>
      <c r="O11" s="416"/>
      <c r="P11" s="416"/>
      <c r="Q11" s="417"/>
    </row>
    <row r="12" spans="1:19" ht="15.75" thickTop="1">
      <c r="A12" s="114" t="s">
        <v>77</v>
      </c>
      <c r="B12" s="145"/>
      <c r="C12" s="127"/>
      <c r="D12" s="95"/>
      <c r="E12" s="47"/>
      <c r="F12" s="47"/>
      <c r="G12" s="46"/>
    </row>
    <row r="13" spans="1:19">
      <c r="A13" s="3" t="s">
        <v>76</v>
      </c>
      <c r="B13" s="145"/>
      <c r="C13" s="127"/>
      <c r="D13" s="95"/>
      <c r="E13" s="85"/>
      <c r="F13" s="47"/>
      <c r="G13" s="46"/>
    </row>
    <row r="14" spans="1:19">
      <c r="A14" s="3" t="s">
        <v>75</v>
      </c>
      <c r="B14" s="145"/>
      <c r="C14" s="127"/>
      <c r="D14" s="95"/>
      <c r="E14" s="113"/>
      <c r="F14" s="47"/>
      <c r="G14" s="46"/>
    </row>
    <row r="15" spans="1:19">
      <c r="A15" s="47"/>
      <c r="B15" s="112"/>
      <c r="C15" s="47"/>
      <c r="D15" s="95"/>
      <c r="E15" s="47"/>
      <c r="F15" s="47"/>
      <c r="G15" s="47"/>
      <c r="H15" s="47"/>
      <c r="I15" s="47"/>
      <c r="J15" s="47"/>
      <c r="K15" s="47"/>
      <c r="L15" s="47"/>
      <c r="M15" s="47"/>
      <c r="N15" s="47"/>
      <c r="O15" s="47"/>
      <c r="P15" s="47"/>
      <c r="Q15" s="47"/>
      <c r="R15" s="47"/>
      <c r="S15" s="47"/>
    </row>
    <row r="16" spans="1:19">
      <c r="A16" s="106" t="s">
        <v>74</v>
      </c>
      <c r="B16" s="111"/>
      <c r="C16" s="110"/>
      <c r="D16" s="95"/>
      <c r="E16" s="47"/>
      <c r="F16" s="109"/>
      <c r="G16" s="108"/>
      <c r="I16" s="102"/>
    </row>
    <row r="17" spans="1:19" ht="15">
      <c r="A17" s="107" t="s">
        <v>72</v>
      </c>
      <c r="B17" s="137"/>
      <c r="C17" s="138"/>
      <c r="D17" s="137"/>
      <c r="E17" s="138"/>
      <c r="F17" s="143">
        <f>G17</f>
        <v>33.003952569169961</v>
      </c>
      <c r="G17" s="143">
        <v>33.003952569169961</v>
      </c>
      <c r="H17" s="143">
        <v>43.80952380952381</v>
      </c>
      <c r="I17" s="143">
        <v>42.14016675787915</v>
      </c>
      <c r="J17" s="143">
        <v>37.47</v>
      </c>
      <c r="K17" s="144">
        <v>32.47</v>
      </c>
      <c r="L17" s="144">
        <v>42.7</v>
      </c>
      <c r="M17" s="144">
        <v>52.56</v>
      </c>
      <c r="N17" s="144">
        <f t="shared" ref="N17:O17" si="0">M17</f>
        <v>52.56</v>
      </c>
      <c r="O17" s="144">
        <f t="shared" si="0"/>
        <v>52.56</v>
      </c>
      <c r="P17" s="144">
        <f t="shared" ref="P17:S17" si="1">O17</f>
        <v>52.56</v>
      </c>
      <c r="Q17" s="144">
        <f t="shared" ref="Q17" si="2">P17</f>
        <v>52.56</v>
      </c>
      <c r="R17" s="144">
        <f t="shared" si="1"/>
        <v>52.56</v>
      </c>
      <c r="S17" s="144">
        <f t="shared" si="1"/>
        <v>52.56</v>
      </c>
    </row>
    <row r="18" spans="1:19" ht="15">
      <c r="A18" s="107" t="s">
        <v>71</v>
      </c>
      <c r="B18" s="137"/>
      <c r="C18" s="138"/>
      <c r="D18" s="137"/>
      <c r="E18" s="138"/>
      <c r="F18" s="138"/>
      <c r="G18" s="138"/>
      <c r="H18" s="138"/>
      <c r="I18" s="139"/>
      <c r="J18" s="139"/>
      <c r="K18" s="8"/>
      <c r="L18" s="8"/>
      <c r="M18" s="8"/>
      <c r="N18" s="8"/>
      <c r="O18" s="8"/>
      <c r="P18" s="8"/>
      <c r="Q18" s="8"/>
      <c r="R18" s="8"/>
      <c r="S18" s="8"/>
    </row>
    <row r="19" spans="1:19">
      <c r="A19" s="106" t="s">
        <v>73</v>
      </c>
      <c r="B19" s="105"/>
      <c r="C19" s="104"/>
      <c r="D19" s="104"/>
      <c r="E19" s="104"/>
      <c r="F19" s="104"/>
      <c r="G19" s="103"/>
      <c r="I19" s="102"/>
    </row>
    <row r="20" spans="1:19" ht="15">
      <c r="A20" s="101" t="s">
        <v>72</v>
      </c>
      <c r="B20" s="100"/>
      <c r="C20" s="97"/>
      <c r="D20" s="97"/>
      <c r="E20" s="97"/>
      <c r="F20" s="146">
        <f>G20</f>
        <v>47.687600000000003</v>
      </c>
      <c r="G20" s="146">
        <f>model!C5</f>
        <v>47.687600000000003</v>
      </c>
      <c r="H20" s="146">
        <f>model!D5</f>
        <v>47.687600000000003</v>
      </c>
      <c r="I20" s="146">
        <f>model!E5</f>
        <v>47.687600000000003</v>
      </c>
      <c r="J20" s="146">
        <f>model!F5</f>
        <v>40.533999999999999</v>
      </c>
      <c r="K20" s="146">
        <f>model!G5</f>
        <v>40.533999999999999</v>
      </c>
      <c r="L20" s="146">
        <f>model!H5</f>
        <v>40.533999999999999</v>
      </c>
      <c r="M20" s="146">
        <f>model!I5</f>
        <v>39.807791999999999</v>
      </c>
      <c r="N20" s="146">
        <f>model!J5</f>
        <v>39.387548000000002</v>
      </c>
      <c r="O20" s="146">
        <f>model!K5</f>
        <v>39.387548000000002</v>
      </c>
      <c r="P20" s="146">
        <f>model!L5</f>
        <v>39.387548000000002</v>
      </c>
      <c r="Q20" s="146">
        <f>model!M5</f>
        <v>39.387548000000002</v>
      </c>
      <c r="R20" s="146">
        <f>model!N5</f>
        <v>39.387548000000002</v>
      </c>
      <c r="S20" s="146">
        <f>model!O5</f>
        <v>39.387548000000002</v>
      </c>
    </row>
    <row r="21" spans="1:19" ht="15">
      <c r="A21" s="101" t="s">
        <v>71</v>
      </c>
      <c r="B21" s="100"/>
      <c r="C21" s="97"/>
      <c r="D21" s="97"/>
      <c r="E21" s="97"/>
      <c r="F21" s="97"/>
      <c r="G21" s="99"/>
      <c r="H21" s="98"/>
      <c r="I21" s="97"/>
      <c r="J21" s="97"/>
      <c r="K21" s="97"/>
      <c r="L21" s="97"/>
      <c r="M21" s="97"/>
      <c r="N21" s="97"/>
      <c r="O21" s="97"/>
      <c r="P21" s="97"/>
      <c r="Q21" s="97"/>
      <c r="R21" s="97"/>
      <c r="S21" s="97"/>
    </row>
    <row r="22" spans="1:19" s="10" customFormat="1">
      <c r="A22" s="10" t="s">
        <v>70</v>
      </c>
      <c r="B22" s="19"/>
      <c r="C22" s="18"/>
      <c r="D22" s="18"/>
      <c r="E22" s="18"/>
      <c r="F22" s="17">
        <f t="shared" ref="F22:T22" si="3">CNoAve*CPAve+PNoAve*PPAve</f>
        <v>1573.8792885375494</v>
      </c>
      <c r="G22" s="17">
        <f t="shared" si="3"/>
        <v>1573.8792885375494</v>
      </c>
      <c r="H22" s="16">
        <f t="shared" si="3"/>
        <v>2089.1710476190478</v>
      </c>
      <c r="I22" s="16">
        <f t="shared" si="3"/>
        <v>2009.5634162830379</v>
      </c>
      <c r="J22" s="16">
        <f>CNoAve*CPAve+PNoAve*PPAve</f>
        <v>1518.80898</v>
      </c>
      <c r="K22" s="16">
        <f t="shared" si="3"/>
        <v>1316.1389799999999</v>
      </c>
      <c r="L22" s="16">
        <f t="shared" si="3"/>
        <v>1730.8018</v>
      </c>
      <c r="M22" s="16">
        <f t="shared" si="3"/>
        <v>2092.2975475200001</v>
      </c>
      <c r="N22" s="16">
        <f t="shared" si="3"/>
        <v>2070.2095228800003</v>
      </c>
      <c r="O22" s="16">
        <f t="shared" si="3"/>
        <v>2070.2095228800003</v>
      </c>
      <c r="P22" s="16">
        <f t="shared" si="3"/>
        <v>2070.2095228800003</v>
      </c>
      <c r="Q22" s="16">
        <f t="shared" si="3"/>
        <v>2070.2095228800003</v>
      </c>
      <c r="R22" s="16">
        <f t="shared" si="3"/>
        <v>2070.2095228800003</v>
      </c>
      <c r="S22" s="16">
        <f t="shared" si="3"/>
        <v>2070.2095228800003</v>
      </c>
    </row>
    <row r="23" spans="1:19" s="10" customFormat="1">
      <c r="A23" s="10" t="s">
        <v>69</v>
      </c>
      <c r="B23" s="19"/>
      <c r="C23" s="18"/>
      <c r="D23" s="18"/>
      <c r="E23" s="18"/>
      <c r="F23" s="17">
        <f t="shared" ref="F23:T23" si="4">MCAPhist+MinorityEquity+NetDebt-Investments</f>
        <v>1179.7984629716375</v>
      </c>
      <c r="G23" s="17">
        <f t="shared" si="4"/>
        <v>1037.4058973471124</v>
      </c>
      <c r="H23" s="16">
        <f t="shared" si="4"/>
        <v>2021.187226834978</v>
      </c>
      <c r="I23" s="16">
        <f t="shared" si="4"/>
        <v>2677.9972940491075</v>
      </c>
      <c r="J23" s="16">
        <f t="shared" si="4"/>
        <v>1846.5242218618801</v>
      </c>
      <c r="K23" s="16">
        <f t="shared" si="4"/>
        <v>1718.5173084155144</v>
      </c>
      <c r="L23" s="16">
        <f t="shared" si="4"/>
        <v>1804.2485850395228</v>
      </c>
      <c r="M23" s="16">
        <f t="shared" si="4"/>
        <v>2699.8498512049005</v>
      </c>
      <c r="N23" s="16">
        <f t="shared" si="4"/>
        <v>2686.1991062133334</v>
      </c>
      <c r="O23" s="16">
        <f t="shared" si="4"/>
        <v>2833.9977253646948</v>
      </c>
      <c r="P23" s="16">
        <f t="shared" si="4"/>
        <v>2851.1088144950118</v>
      </c>
      <c r="Q23" s="16">
        <f t="shared" si="4"/>
        <v>2753.4473244407454</v>
      </c>
      <c r="R23" s="16">
        <f t="shared" si="4"/>
        <v>2483.3036185433866</v>
      </c>
      <c r="S23" s="16">
        <f t="shared" si="4"/>
        <v>2248.4320894028756</v>
      </c>
    </row>
    <row r="24" spans="1:19" ht="15.75" thickBot="1">
      <c r="A24" s="20"/>
      <c r="B24" s="29"/>
      <c r="C24" s="28"/>
      <c r="D24" s="28"/>
      <c r="E24" s="28"/>
      <c r="F24" s="28"/>
      <c r="G24" s="27"/>
      <c r="H24" s="26"/>
      <c r="I24" s="277"/>
      <c r="J24" s="277"/>
      <c r="K24" s="277"/>
      <c r="L24" s="277"/>
      <c r="M24" s="26"/>
      <c r="N24" s="26"/>
      <c r="O24" s="26"/>
      <c r="P24" s="26"/>
      <c r="Q24" s="26"/>
      <c r="R24" s="26"/>
      <c r="S24" s="26"/>
    </row>
    <row r="25" spans="1:19" ht="12.75" thickBot="1">
      <c r="A25" s="94" t="s">
        <v>5</v>
      </c>
      <c r="B25" s="44">
        <f t="shared" ref="B25:T25" si="5">YEAR</f>
        <v>2005</v>
      </c>
      <c r="C25" s="42">
        <f t="shared" si="5"/>
        <v>2006</v>
      </c>
      <c r="D25" s="42">
        <f t="shared" si="5"/>
        <v>2007</v>
      </c>
      <c r="E25" s="42">
        <f t="shared" si="5"/>
        <v>2008</v>
      </c>
      <c r="F25" s="43">
        <f t="shared" si="5"/>
        <v>2009</v>
      </c>
      <c r="G25" s="43">
        <f t="shared" si="5"/>
        <v>2010</v>
      </c>
      <c r="H25" s="42">
        <f t="shared" si="5"/>
        <v>2011</v>
      </c>
      <c r="I25" s="42">
        <f t="shared" si="5"/>
        <v>2012</v>
      </c>
      <c r="J25" s="42">
        <f t="shared" si="5"/>
        <v>2013</v>
      </c>
      <c r="K25" s="42">
        <f t="shared" si="5"/>
        <v>2014</v>
      </c>
      <c r="L25" s="42">
        <f t="shared" si="5"/>
        <v>2015</v>
      </c>
      <c r="M25" s="42">
        <f t="shared" si="5"/>
        <v>2016</v>
      </c>
      <c r="N25" s="42">
        <f t="shared" si="5"/>
        <v>2017</v>
      </c>
      <c r="O25" s="42">
        <f t="shared" si="5"/>
        <v>2018</v>
      </c>
      <c r="P25" s="42">
        <f t="shared" si="5"/>
        <v>2019</v>
      </c>
      <c r="Q25" s="42">
        <f t="shared" si="5"/>
        <v>2020</v>
      </c>
      <c r="R25" s="42">
        <f t="shared" si="5"/>
        <v>2021</v>
      </c>
      <c r="S25" s="42">
        <f t="shared" si="5"/>
        <v>2022</v>
      </c>
    </row>
    <row r="26" spans="1:19">
      <c r="A26" s="3" t="s">
        <v>7</v>
      </c>
      <c r="B26" s="78"/>
      <c r="C26" s="77"/>
      <c r="D26" s="77"/>
      <c r="E26" s="77"/>
      <c r="F26" s="76">
        <f t="shared" ref="F26:T26" si="6">EBITDA/Revenue</f>
        <v>0.1799102826344473</v>
      </c>
      <c r="G26" s="76">
        <f t="shared" si="6"/>
        <v>0.2418977839708725</v>
      </c>
      <c r="H26" s="6">
        <f t="shared" si="6"/>
        <v>0.33123258170762598</v>
      </c>
      <c r="I26" s="6">
        <f t="shared" si="6"/>
        <v>0.2922596772096116</v>
      </c>
      <c r="J26" s="6">
        <f t="shared" si="6"/>
        <v>0.24334612293180061</v>
      </c>
      <c r="K26" s="6">
        <f t="shared" si="6"/>
        <v>0.30198102912784341</v>
      </c>
      <c r="L26" s="6">
        <f t="shared" si="6"/>
        <v>0.40888119386540478</v>
      </c>
      <c r="M26" s="6">
        <f t="shared" si="6"/>
        <v>0.35769716235800098</v>
      </c>
      <c r="N26" s="6">
        <f t="shared" si="6"/>
        <v>0.32853557228848751</v>
      </c>
      <c r="O26" s="6">
        <f t="shared" si="6"/>
        <v>0.37698551866203206</v>
      </c>
      <c r="P26" s="6">
        <f t="shared" si="6"/>
        <v>0.38730194375386401</v>
      </c>
      <c r="Q26" s="6">
        <f t="shared" si="6"/>
        <v>0.39779990756711697</v>
      </c>
      <c r="R26" s="6">
        <f t="shared" si="6"/>
        <v>0.41846048076021347</v>
      </c>
      <c r="S26" s="6">
        <f t="shared" si="6"/>
        <v>0.42400134792745753</v>
      </c>
    </row>
    <row r="27" spans="1:19">
      <c r="A27" s="47" t="s">
        <v>68</v>
      </c>
      <c r="B27" s="78"/>
      <c r="C27" s="77"/>
      <c r="D27" s="77"/>
      <c r="E27" s="77"/>
      <c r="F27" s="76">
        <f t="shared" ref="F27:T27" si="7">NetIncome/Revenue</f>
        <v>0.18862883388281598</v>
      </c>
      <c r="G27" s="76">
        <f t="shared" si="7"/>
        <v>0.1964759293387873</v>
      </c>
      <c r="H27" s="77">
        <f t="shared" si="7"/>
        <v>0.22840131745629591</v>
      </c>
      <c r="I27" s="77">
        <f t="shared" si="7"/>
        <v>0.19143464000346783</v>
      </c>
      <c r="J27" s="77">
        <f t="shared" si="7"/>
        <v>0.12664735588953432</v>
      </c>
      <c r="K27" s="77">
        <f t="shared" si="7"/>
        <v>0.18345504910601851</v>
      </c>
      <c r="L27" s="77">
        <f t="shared" si="7"/>
        <v>0.29134408231926257</v>
      </c>
      <c r="M27" s="77">
        <f t="shared" si="7"/>
        <v>0.18109251554392031</v>
      </c>
      <c r="N27" s="77">
        <f t="shared" si="7"/>
        <v>0.16859909819861835</v>
      </c>
      <c r="O27" s="77">
        <f t="shared" si="7"/>
        <v>0.22456578500074467</v>
      </c>
      <c r="P27" s="77">
        <f t="shared" si="7"/>
        <v>0.22486187471262653</v>
      </c>
      <c r="Q27" s="77">
        <f t="shared" si="7"/>
        <v>0.23750361469124001</v>
      </c>
      <c r="R27" s="77">
        <f t="shared" si="7"/>
        <v>0.26446566229347773</v>
      </c>
      <c r="S27" s="77">
        <f t="shared" si="7"/>
        <v>0.27625941214170663</v>
      </c>
    </row>
    <row r="28" spans="1:19">
      <c r="A28" s="47" t="s">
        <v>6</v>
      </c>
      <c r="B28" s="78"/>
      <c r="C28" s="77"/>
      <c r="D28" s="77"/>
      <c r="E28" s="77"/>
      <c r="F28" s="76">
        <f>EBIT*(1-20%)/F98</f>
        <v>5.3822005337740328E-2</v>
      </c>
      <c r="G28" s="76">
        <f t="shared" ref="G28:Q28" si="8">EBIT*(1-20%)/G98</f>
        <v>8.2270668514974291E-2</v>
      </c>
      <c r="H28" s="77">
        <f t="shared" si="8"/>
        <v>0.15792554240760062</v>
      </c>
      <c r="I28" s="77">
        <f t="shared" si="8"/>
        <v>0.10254445189454914</v>
      </c>
      <c r="J28" s="77">
        <f t="shared" si="8"/>
        <v>8.2905756156925942E-2</v>
      </c>
      <c r="K28" s="77">
        <f t="shared" si="8"/>
        <v>0.11091405908825605</v>
      </c>
      <c r="L28" s="77">
        <f t="shared" si="8"/>
        <v>0.17753256162684217</v>
      </c>
      <c r="M28" s="77">
        <f t="shared" si="8"/>
        <v>0.10482114690422746</v>
      </c>
      <c r="N28" s="77">
        <f t="shared" si="8"/>
        <v>0.10321896477594311</v>
      </c>
      <c r="O28" s="77">
        <f t="shared" si="8"/>
        <v>0.13999277088677856</v>
      </c>
      <c r="P28" s="77">
        <f t="shared" si="8"/>
        <v>0.14415663159669673</v>
      </c>
      <c r="Q28" s="77">
        <f t="shared" si="8"/>
        <v>0.15836907394755809</v>
      </c>
      <c r="R28" s="77">
        <f t="shared" ref="R28:S28" si="9">EBIT*(1-20%)/R98</f>
        <v>0.18850134933201793</v>
      </c>
      <c r="S28" s="77">
        <f t="shared" ref="S28" si="10">EBIT*(1-20%)/S98</f>
        <v>0.19556878028365229</v>
      </c>
    </row>
    <row r="29" spans="1:19">
      <c r="A29" s="3" t="s">
        <v>67</v>
      </c>
      <c r="B29" s="78"/>
      <c r="C29" s="77"/>
      <c r="D29" s="77"/>
      <c r="E29" s="77"/>
      <c r="F29" s="76">
        <f t="shared" ref="F29:L29" si="11">NetIncome/AVERAGE(E88:F88)</f>
        <v>0.17391498397838806</v>
      </c>
      <c r="G29" s="76">
        <f t="shared" si="11"/>
        <v>0.20838212273489959</v>
      </c>
      <c r="H29" s="77">
        <f t="shared" si="11"/>
        <v>0.3222230905898642</v>
      </c>
      <c r="I29" s="77">
        <f t="shared" si="11"/>
        <v>0.23355300844970658</v>
      </c>
      <c r="J29" s="77">
        <f t="shared" si="11"/>
        <v>0.12772547244818619</v>
      </c>
      <c r="K29" s="77">
        <f t="shared" si="11"/>
        <v>0.20769402216051486</v>
      </c>
      <c r="L29" s="77">
        <f t="shared" si="11"/>
        <v>0.39968915544489253</v>
      </c>
      <c r="M29" s="77">
        <f t="shared" ref="M29" si="12">NetIncome/AVERAGE(L88:M88)</f>
        <v>0.2028946088835665</v>
      </c>
      <c r="N29" s="77">
        <f t="shared" ref="N29" si="13">NetIncome/AVERAGE(M88:N88)</f>
        <v>0.22376190779660776</v>
      </c>
      <c r="O29" s="77">
        <f t="shared" ref="O29" si="14">NetIncome/AVERAGE(N88:O88)</f>
        <v>0.30938185078111069</v>
      </c>
      <c r="P29" s="77">
        <f t="shared" ref="P29:S29" si="15">NetIncome/AVERAGE(O88:P88)</f>
        <v>0.30688280415454466</v>
      </c>
      <c r="Q29" s="77">
        <f t="shared" ref="Q29" si="16">NetIncome/AVERAGE(P88:Q88)</f>
        <v>0.3294653380079392</v>
      </c>
      <c r="R29" s="77">
        <f t="shared" si="15"/>
        <v>0.38165222757975603</v>
      </c>
      <c r="S29" s="77">
        <f t="shared" si="15"/>
        <v>0.38256731097045416</v>
      </c>
    </row>
    <row r="30" spans="1:19" ht="12.75" thickBot="1">
      <c r="B30" s="96"/>
      <c r="C30" s="95"/>
      <c r="D30" s="95"/>
      <c r="E30" s="95"/>
      <c r="F30" s="46"/>
      <c r="G30" s="46"/>
    </row>
    <row r="31" spans="1:19" ht="12.75" thickBot="1">
      <c r="A31" s="94" t="s">
        <v>66</v>
      </c>
      <c r="B31" s="44">
        <f t="shared" ref="B31:T31" si="17">YEAR</f>
        <v>2005</v>
      </c>
      <c r="C31" s="42">
        <f t="shared" si="17"/>
        <v>2006</v>
      </c>
      <c r="D31" s="42">
        <f t="shared" si="17"/>
        <v>2007</v>
      </c>
      <c r="E31" s="42">
        <f t="shared" si="17"/>
        <v>2008</v>
      </c>
      <c r="F31" s="43">
        <f t="shared" si="17"/>
        <v>2009</v>
      </c>
      <c r="G31" s="43">
        <f t="shared" si="17"/>
        <v>2010</v>
      </c>
      <c r="H31" s="42">
        <f t="shared" si="17"/>
        <v>2011</v>
      </c>
      <c r="I31" s="42">
        <f t="shared" si="17"/>
        <v>2012</v>
      </c>
      <c r="J31" s="42">
        <f t="shared" si="17"/>
        <v>2013</v>
      </c>
      <c r="K31" s="42">
        <f t="shared" si="17"/>
        <v>2014</v>
      </c>
      <c r="L31" s="42">
        <f t="shared" si="17"/>
        <v>2015</v>
      </c>
      <c r="M31" s="42">
        <f t="shared" si="17"/>
        <v>2016</v>
      </c>
      <c r="N31" s="42">
        <f t="shared" si="17"/>
        <v>2017</v>
      </c>
      <c r="O31" s="42">
        <f t="shared" si="17"/>
        <v>2018</v>
      </c>
      <c r="P31" s="42">
        <f t="shared" si="17"/>
        <v>2019</v>
      </c>
      <c r="Q31" s="42">
        <f t="shared" si="17"/>
        <v>2020</v>
      </c>
      <c r="R31" s="42">
        <f t="shared" si="17"/>
        <v>2021</v>
      </c>
      <c r="S31" s="42">
        <f t="shared" si="17"/>
        <v>2022</v>
      </c>
    </row>
    <row r="32" spans="1:19">
      <c r="A32" s="3" t="s">
        <v>65</v>
      </c>
      <c r="B32" s="93"/>
      <c r="C32" s="92"/>
      <c r="D32" s="92"/>
      <c r="E32" s="92"/>
      <c r="F32" s="91">
        <f t="shared" ref="F32:T32" si="18">NetIncome/(CNoAve+PNoAve)</f>
        <v>4.6770553206092682</v>
      </c>
      <c r="G32" s="91">
        <f t="shared" si="18"/>
        <v>6.0381454305022819</v>
      </c>
      <c r="H32" s="90">
        <f t="shared" si="18"/>
        <v>10.288046471157264</v>
      </c>
      <c r="I32" s="90">
        <f>NetIncome/(CNoAve+PNoAve)</f>
        <v>8.9440503917161021</v>
      </c>
      <c r="J32" s="90">
        <f>NetIncome/(CNoAve+PNoAve)</f>
        <v>6.4657472999082657</v>
      </c>
      <c r="K32" s="90">
        <f t="shared" si="18"/>
        <v>8.3744807748475978</v>
      </c>
      <c r="L32" s="90">
        <f t="shared" si="18"/>
        <v>11.92852278349946</v>
      </c>
      <c r="M32" s="90">
        <f t="shared" si="18"/>
        <v>5.8110856371662747</v>
      </c>
      <c r="N32" s="90">
        <f t="shared" si="18"/>
        <v>6.6317045517236428</v>
      </c>
      <c r="O32" s="90">
        <f t="shared" si="18"/>
        <v>9.6748846571867926</v>
      </c>
      <c r="P32" s="90">
        <f t="shared" si="18"/>
        <v>9.948492135812522</v>
      </c>
      <c r="Q32" s="90">
        <f t="shared" si="18"/>
        <v>11.431663014837905</v>
      </c>
      <c r="R32" s="90">
        <f t="shared" si="18"/>
        <v>14.300241023899352</v>
      </c>
      <c r="S32" s="90">
        <f t="shared" si="18"/>
        <v>15.155280369054559</v>
      </c>
    </row>
    <row r="33" spans="1:19">
      <c r="A33" s="3" t="s">
        <v>64</v>
      </c>
      <c r="B33" s="93"/>
      <c r="C33" s="92"/>
      <c r="D33" s="92"/>
      <c r="E33" s="92"/>
      <c r="F33" s="91">
        <f t="shared" ref="F33:T33" si="19">SHEQ/(CNoAve+PNoAve)</f>
        <v>26.892768027339571</v>
      </c>
      <c r="G33" s="91">
        <f t="shared" si="19"/>
        <v>31.059856230969896</v>
      </c>
      <c r="H33" s="90">
        <f t="shared" si="19"/>
        <v>32.796811845323973</v>
      </c>
      <c r="I33" s="90">
        <f t="shared" si="19"/>
        <v>43.794369326654966</v>
      </c>
      <c r="J33" s="90">
        <f t="shared" si="19"/>
        <v>49.72107308112092</v>
      </c>
      <c r="K33" s="90">
        <f t="shared" si="19"/>
        <v>30.92140942976657</v>
      </c>
      <c r="L33" s="90">
        <f t="shared" si="19"/>
        <v>28.767589488514634</v>
      </c>
      <c r="M33" s="90">
        <f t="shared" si="19"/>
        <v>27.989421518233787</v>
      </c>
      <c r="N33" s="90">
        <f t="shared" si="19"/>
        <v>30.986597873802936</v>
      </c>
      <c r="O33" s="90">
        <f t="shared" si="19"/>
        <v>31.556726065595342</v>
      </c>
      <c r="P33" s="90">
        <f t="shared" si="19"/>
        <v>33.279048380746801</v>
      </c>
      <c r="Q33" s="90">
        <f t="shared" si="19"/>
        <v>36.116191093958932</v>
      </c>
      <c r="R33" s="90">
        <f t="shared" si="19"/>
        <v>38.822404782104435</v>
      </c>
      <c r="S33" s="90">
        <f t="shared" si="19"/>
        <v>40.406948769354692</v>
      </c>
    </row>
    <row r="34" spans="1:19">
      <c r="A34" s="3" t="s">
        <v>63</v>
      </c>
      <c r="B34" s="137"/>
      <c r="C34" s="138"/>
      <c r="D34" s="138"/>
      <c r="E34" s="137"/>
      <c r="F34" s="137">
        <v>3</v>
      </c>
      <c r="G34" s="137">
        <f>model!C168</f>
        <v>5.7482993197278915</v>
      </c>
      <c r="H34" s="137">
        <f>model!D168</f>
        <v>1.4808614750667999</v>
      </c>
      <c r="I34" s="137">
        <f>model!E168</f>
        <v>2.0085362791865427</v>
      </c>
      <c r="J34" s="137">
        <f>model!F168</f>
        <v>3.9347657261195961</v>
      </c>
      <c r="K34" s="137">
        <f>model!G168</f>
        <v>2.6226415094339623</v>
      </c>
      <c r="L34" s="137">
        <f>model!H168</f>
        <v>2.938679553320708</v>
      </c>
      <c r="M34" s="137">
        <f>model!I168</f>
        <v>4.2372881355932206</v>
      </c>
      <c r="N34" s="137">
        <f>model!J168</f>
        <v>5.9705344660716202</v>
      </c>
      <c r="O34" s="137">
        <f>model!K168</f>
        <v>6.2750771194592811</v>
      </c>
      <c r="P34" s="137">
        <f>model!L168</f>
        <v>6.5511056676592432</v>
      </c>
      <c r="Q34" s="137">
        <f>model!M168</f>
        <v>9.4971641026905012</v>
      </c>
      <c r="R34" s="137">
        <f>model!N168</f>
        <v>11.460758056941387</v>
      </c>
      <c r="S34" s="137">
        <f>model!O168</f>
        <v>11.815948650355496</v>
      </c>
    </row>
    <row r="35" spans="1:19" ht="12.75" thickBot="1">
      <c r="A35" s="89" t="s">
        <v>62</v>
      </c>
      <c r="B35" s="137"/>
      <c r="C35" s="138"/>
      <c r="D35" s="138"/>
      <c r="E35" s="138"/>
      <c r="F35" s="139">
        <v>0</v>
      </c>
      <c r="G35" s="139">
        <v>0</v>
      </c>
      <c r="H35" s="137">
        <v>0</v>
      </c>
      <c r="I35" s="137">
        <v>0</v>
      </c>
      <c r="J35" s="137">
        <v>0</v>
      </c>
      <c r="K35" s="137">
        <v>0</v>
      </c>
      <c r="L35" s="137">
        <v>0</v>
      </c>
      <c r="M35" s="137">
        <v>0</v>
      </c>
      <c r="N35" s="137">
        <v>0</v>
      </c>
      <c r="O35" s="137">
        <v>0</v>
      </c>
      <c r="P35" s="137">
        <v>0</v>
      </c>
      <c r="Q35" s="137">
        <v>0</v>
      </c>
      <c r="R35" s="137">
        <v>0</v>
      </c>
      <c r="S35" s="137">
        <v>1</v>
      </c>
    </row>
    <row r="36" spans="1:19">
      <c r="A36" s="88" t="s">
        <v>61</v>
      </c>
      <c r="B36" s="87"/>
      <c r="C36" s="85"/>
      <c r="D36" s="85"/>
      <c r="E36" s="85"/>
      <c r="F36" s="86"/>
      <c r="G36" s="86"/>
      <c r="H36" s="85"/>
      <c r="I36" s="85"/>
    </row>
    <row r="37" spans="1:19">
      <c r="A37" s="3" t="s">
        <v>60</v>
      </c>
      <c r="B37" s="84"/>
      <c r="C37" s="83"/>
      <c r="D37" s="83"/>
      <c r="E37" s="83"/>
      <c r="F37" s="82">
        <f t="shared" ref="F37:T37" si="20">EVave/EBITDA</f>
        <v>5.5460265883644126</v>
      </c>
      <c r="G37" s="82">
        <f t="shared" si="20"/>
        <v>2.9262884923774348</v>
      </c>
      <c r="H37" s="79">
        <f t="shared" si="20"/>
        <v>2.8407545878644402</v>
      </c>
      <c r="I37" s="79">
        <f t="shared" si="20"/>
        <v>4.1126528869850878</v>
      </c>
      <c r="J37" s="79">
        <f t="shared" si="20"/>
        <v>3.6668109064817989</v>
      </c>
      <c r="K37" s="79">
        <f t="shared" si="20"/>
        <v>3.0755767256933684</v>
      </c>
      <c r="L37" s="79">
        <f t="shared" si="20"/>
        <v>2.658883512916006</v>
      </c>
      <c r="M37" s="79">
        <f t="shared" si="20"/>
        <v>5.9087995015918668</v>
      </c>
      <c r="N37" s="79">
        <f t="shared" si="20"/>
        <v>5.2774840884401399</v>
      </c>
      <c r="O37" s="79">
        <f t="shared" si="20"/>
        <v>4.4301014891857919</v>
      </c>
      <c r="P37" s="79">
        <f t="shared" si="20"/>
        <v>4.224387383550094</v>
      </c>
      <c r="Q37" s="79">
        <f t="shared" si="20"/>
        <v>3.6510178750433089</v>
      </c>
      <c r="R37" s="79">
        <f t="shared" si="20"/>
        <v>2.7863929394821838</v>
      </c>
      <c r="S37" s="79">
        <f t="shared" si="20"/>
        <v>2.4541816265500298</v>
      </c>
    </row>
    <row r="38" spans="1:19">
      <c r="A38" s="3" t="s">
        <v>59</v>
      </c>
      <c r="B38" s="84"/>
      <c r="C38" s="83"/>
      <c r="D38" s="83"/>
      <c r="E38" s="83"/>
      <c r="F38" s="82">
        <f t="shared" ref="F38:T38" si="21">CPAve/EPS</f>
        <v>7.0565666443454891</v>
      </c>
      <c r="G38" s="82">
        <f t="shared" si="21"/>
        <v>5.4659088538091956</v>
      </c>
      <c r="H38" s="79">
        <f>CPAve/EPS</f>
        <v>4.2582937326677763</v>
      </c>
      <c r="I38" s="79">
        <f t="shared" si="21"/>
        <v>4.7115305607970397</v>
      </c>
      <c r="J38" s="79">
        <f t="shared" si="21"/>
        <v>5.7951537946018421</v>
      </c>
      <c r="K38" s="79">
        <f t="shared" si="21"/>
        <v>3.8772553036986226</v>
      </c>
      <c r="L38" s="79">
        <f t="shared" si="21"/>
        <v>3.5796553165045926</v>
      </c>
      <c r="M38" s="79">
        <f t="shared" si="21"/>
        <v>9.0447815230667352</v>
      </c>
      <c r="N38" s="79">
        <f t="shared" si="21"/>
        <v>7.9255641728398709</v>
      </c>
      <c r="O38" s="79">
        <f t="shared" si="21"/>
        <v>5.4326229058407298</v>
      </c>
      <c r="P38" s="79">
        <f t="shared" si="21"/>
        <v>5.2832127002236682</v>
      </c>
      <c r="Q38" s="79">
        <f t="shared" si="21"/>
        <v>4.597756243494838</v>
      </c>
      <c r="R38" s="79">
        <f t="shared" si="21"/>
        <v>3.6754625262720277</v>
      </c>
      <c r="S38" s="79">
        <f t="shared" si="21"/>
        <v>3.4680981624940328</v>
      </c>
    </row>
    <row r="39" spans="1:19" ht="15">
      <c r="A39" s="3" t="s">
        <v>58</v>
      </c>
      <c r="B39" s="81"/>
      <c r="C39" s="80"/>
      <c r="D39" s="80"/>
      <c r="E39" s="80"/>
      <c r="F39" s="79">
        <f t="shared" ref="F39:T39" si="22">CPAve/BVPS</f>
        <v>1.2272426748937735</v>
      </c>
      <c r="G39" s="79">
        <f t="shared" si="22"/>
        <v>1.0625919297160686</v>
      </c>
      <c r="H39" s="79">
        <f t="shared" si="22"/>
        <v>1.3357860518924185</v>
      </c>
      <c r="I39" s="79">
        <f t="shared" si="22"/>
        <v>0.96222796231092189</v>
      </c>
      <c r="J39" s="79">
        <f t="shared" si="22"/>
        <v>0.75360400888506462</v>
      </c>
      <c r="K39" s="79">
        <f t="shared" si="22"/>
        <v>1.0500815001253687</v>
      </c>
      <c r="L39" s="79">
        <f t="shared" si="22"/>
        <v>1.4843092785736476</v>
      </c>
      <c r="M39" s="79">
        <f t="shared" si="22"/>
        <v>1.8778523152312971</v>
      </c>
      <c r="N39" s="79">
        <f t="shared" si="22"/>
        <v>1.6962171908661168</v>
      </c>
      <c r="O39" s="79">
        <f t="shared" si="22"/>
        <v>1.6655720207079225</v>
      </c>
      <c r="P39" s="79">
        <f t="shared" si="22"/>
        <v>1.5793720841611556</v>
      </c>
      <c r="Q39" s="79">
        <f t="shared" si="22"/>
        <v>1.4553029654556122</v>
      </c>
      <c r="R39" s="79">
        <f t="shared" si="22"/>
        <v>1.3538573999987771</v>
      </c>
      <c r="S39" s="79">
        <f t="shared" si="22"/>
        <v>1.3007663681812667</v>
      </c>
    </row>
    <row r="40" spans="1:19">
      <c r="A40" s="3" t="s">
        <v>57</v>
      </c>
      <c r="B40" s="78"/>
      <c r="C40" s="77"/>
      <c r="D40" s="77"/>
      <c r="E40" s="77"/>
      <c r="F40" s="76">
        <f t="shared" ref="F40:T40" si="23">DPSc/CPAve</f>
        <v>9.0898203592814364E-2</v>
      </c>
      <c r="G40" s="76">
        <f t="shared" si="23"/>
        <v>0.17417002729235409</v>
      </c>
      <c r="H40" s="6">
        <f t="shared" si="23"/>
        <v>3.3802272800437821E-2</v>
      </c>
      <c r="I40" s="6">
        <f>DPSc/CPAve</f>
        <v>4.7663225699290733E-2</v>
      </c>
      <c r="J40" s="268">
        <f t="shared" si="23"/>
        <v>0.10501109490578052</v>
      </c>
      <c r="K40" s="268">
        <f t="shared" si="23"/>
        <v>8.0771219877855321E-2</v>
      </c>
      <c r="L40" s="268">
        <f t="shared" si="23"/>
        <v>6.8821535206573956E-2</v>
      </c>
      <c r="M40" s="268">
        <f t="shared" si="23"/>
        <v>8.061811521296082E-2</v>
      </c>
      <c r="N40" s="268">
        <f t="shared" si="23"/>
        <v>0.11359464357061681</v>
      </c>
      <c r="O40" s="268">
        <f t="shared" si="23"/>
        <v>0.11938883408408069</v>
      </c>
      <c r="P40" s="268">
        <f t="shared" si="23"/>
        <v>0.12464051879108148</v>
      </c>
      <c r="Q40" s="268">
        <f t="shared" si="23"/>
        <v>0.18069185887919523</v>
      </c>
      <c r="R40" s="268">
        <f t="shared" si="23"/>
        <v>0.21805095237711922</v>
      </c>
      <c r="S40" s="268">
        <f t="shared" si="23"/>
        <v>0.22480876427617</v>
      </c>
    </row>
    <row r="41" spans="1:19" ht="12.75" thickBot="1">
      <c r="A41" s="47" t="s">
        <v>56</v>
      </c>
      <c r="B41" s="78"/>
      <c r="C41" s="77"/>
      <c r="D41" s="77"/>
      <c r="E41" s="77"/>
      <c r="F41" s="77"/>
      <c r="G41" s="76"/>
      <c r="H41" s="6"/>
      <c r="I41" s="6"/>
      <c r="J41" s="6"/>
      <c r="K41" s="6"/>
      <c r="L41" s="6"/>
      <c r="M41" s="6"/>
      <c r="N41" s="6"/>
      <c r="O41" s="6"/>
      <c r="P41" s="6"/>
      <c r="Q41" s="6"/>
      <c r="R41" s="6"/>
      <c r="S41" s="6"/>
    </row>
    <row r="42" spans="1:19">
      <c r="A42" s="75" t="s">
        <v>0</v>
      </c>
      <c r="B42" s="69"/>
      <c r="C42" s="67"/>
      <c r="D42" s="67"/>
      <c r="E42" s="67"/>
      <c r="F42" s="67"/>
      <c r="G42" s="68"/>
      <c r="H42" s="67"/>
      <c r="I42" s="67"/>
      <c r="J42" s="67"/>
      <c r="K42" s="67"/>
      <c r="L42" s="67"/>
      <c r="M42" s="67"/>
      <c r="N42" s="67"/>
      <c r="O42" s="67"/>
      <c r="P42" s="67"/>
      <c r="Q42" s="67"/>
      <c r="R42" s="67"/>
      <c r="S42" s="67"/>
    </row>
    <row r="43" spans="1:19">
      <c r="A43" s="3" t="s">
        <v>55</v>
      </c>
      <c r="B43" s="78"/>
      <c r="C43" s="77"/>
      <c r="D43" s="77"/>
      <c r="E43" s="77"/>
      <c r="F43" s="77"/>
      <c r="G43" s="6">
        <f t="shared" ref="G43:L43" si="24">IF(OR(G52&lt;0,F52&lt;0),"n/m",G52/F52-1)</f>
        <v>0.23945222188620185</v>
      </c>
      <c r="H43" s="6">
        <f t="shared" si="24"/>
        <v>0.46568315104169056</v>
      </c>
      <c r="I43" s="6">
        <f t="shared" si="24"/>
        <v>3.7240339987237858E-2</v>
      </c>
      <c r="J43" s="6">
        <f t="shared" si="24"/>
        <v>-7.1198548022190722E-2</v>
      </c>
      <c r="K43" s="6">
        <f t="shared" si="24"/>
        <v>-0.10585980012739915</v>
      </c>
      <c r="L43" s="6">
        <f t="shared" si="24"/>
        <v>-0.10308302761065447</v>
      </c>
      <c r="M43" s="6">
        <f t="shared" ref="M43" si="25">IF(OR(M52&lt;0,L52&lt;0),"n/m",M52/L52-1)</f>
        <v>-0.23029388430522657</v>
      </c>
      <c r="N43" s="6">
        <f t="shared" ref="N43" si="26">IF(OR(N52&lt;0,M52&lt;0),"n/m",N52/M52-1)</f>
        <v>0.21284137560548544</v>
      </c>
      <c r="O43" s="6">
        <f t="shared" ref="O43" si="27">IF(OR(O52&lt;0,N52&lt;0),"n/m",O52/N52-1)</f>
        <v>9.5297978506347691E-2</v>
      </c>
      <c r="P43" s="6">
        <f t="shared" ref="P43:S43" si="28">IF(OR(P52&lt;0,O52&lt;0),"n/m",P52/O52-1)</f>
        <v>2.6926178994391758E-2</v>
      </c>
      <c r="Q43" s="6">
        <f t="shared" ref="Q43" si="29">IF(OR(Q52&lt;0,P52&lt;0),"n/m",Q52/P52-1)</f>
        <v>8.7921992405570748E-2</v>
      </c>
      <c r="R43" s="6">
        <f t="shared" si="28"/>
        <v>0.12340117892851898</v>
      </c>
      <c r="S43" s="6">
        <f t="shared" si="28"/>
        <v>1.4548531327506442E-2</v>
      </c>
    </row>
    <row r="44" spans="1:19">
      <c r="A44" s="3" t="s">
        <v>4</v>
      </c>
      <c r="B44" s="78"/>
      <c r="C44" s="77"/>
      <c r="D44" s="77"/>
      <c r="E44" s="77"/>
      <c r="F44" s="77"/>
      <c r="G44" s="6">
        <f t="shared" ref="G44:L44" si="30">IF(OR(G65&lt;0,F65&lt;0),"n/m",G65/F65-1)</f>
        <v>0.66650144406276368</v>
      </c>
      <c r="H44" s="6">
        <f t="shared" si="30"/>
        <v>1.0069717304370411</v>
      </c>
      <c r="I44" s="6">
        <f t="shared" si="30"/>
        <v>-8.4801605594952867E-2</v>
      </c>
      <c r="J44" s="6">
        <f t="shared" si="30"/>
        <v>-0.22664585662248959</v>
      </c>
      <c r="K44" s="6">
        <f t="shared" si="30"/>
        <v>0.10958569830092046</v>
      </c>
      <c r="L44" s="6">
        <f t="shared" si="30"/>
        <v>0.21442225535778281</v>
      </c>
      <c r="M44" s="6">
        <f t="shared" ref="M44" si="31">IF(OR(M65&lt;0,L65&lt;0),"n/m",M65/L65-1)</f>
        <v>-0.32664622984775904</v>
      </c>
      <c r="N44" s="6">
        <f t="shared" ref="N44" si="32">IF(OR(N65&lt;0,M65&lt;0),"n/m",N65/M65-1)</f>
        <v>0.11396336723215228</v>
      </c>
      <c r="O44" s="6">
        <f t="shared" ref="O44" si="33">IF(OR(O65&lt;0,N65&lt;0),"n/m",O65/N65-1)</f>
        <v>0.25682425693042643</v>
      </c>
      <c r="P44" s="6">
        <f t="shared" ref="P44:S44" si="34">IF(OR(P65&lt;0,O65&lt;0),"n/m",P65/O65-1)</f>
        <v>5.5028603294500211E-2</v>
      </c>
      <c r="Q44" s="6">
        <f t="shared" ref="Q44" si="35">IF(OR(Q65&lt;0,P65&lt;0),"n/m",Q65/P65-1)</f>
        <v>0.11741052426580301</v>
      </c>
      <c r="R44" s="6">
        <f t="shared" si="34"/>
        <v>0.1817473772079834</v>
      </c>
      <c r="S44" s="6">
        <f t="shared" si="34"/>
        <v>2.7982245872296474E-2</v>
      </c>
    </row>
    <row r="45" spans="1:19" ht="12.75" thickBot="1">
      <c r="A45" s="3" t="s">
        <v>44</v>
      </c>
      <c r="B45" s="78"/>
      <c r="C45" s="77"/>
      <c r="D45" s="77"/>
      <c r="E45" s="77"/>
      <c r="F45" s="77"/>
      <c r="G45" s="6">
        <f t="shared" ref="G45:L45" si="36">IF(OR(G62&lt;0,F62&lt;0),"n/m",G62/F62-1)</f>
        <v>0.291014327732114</v>
      </c>
      <c r="H45" s="6">
        <f t="shared" si="36"/>
        <v>0.70384211337245906</v>
      </c>
      <c r="I45" s="6">
        <f t="shared" si="36"/>
        <v>-0.13063666491097992</v>
      </c>
      <c r="J45" s="6">
        <f t="shared" si="36"/>
        <v>-0.38553310917387285</v>
      </c>
      <c r="K45" s="6">
        <f t="shared" si="36"/>
        <v>0.2952069399567181</v>
      </c>
      <c r="L45" s="6">
        <f t="shared" si="36"/>
        <v>0.42438953580576344</v>
      </c>
      <c r="M45" s="6">
        <f t="shared" ref="M45" si="37">IF(OR(M62&lt;0,L62&lt;0),"n/m",M62/L62-1)</f>
        <v>-0.52156908212756758</v>
      </c>
      <c r="N45" s="6">
        <f t="shared" ref="N45" si="38">IF(OR(N62&lt;0,M62&lt;0),"n/m",N62/M62-1)</f>
        <v>0.1291684892160172</v>
      </c>
      <c r="O45" s="6">
        <f t="shared" ref="O45" si="39">IF(OR(O62&lt;0,N62&lt;0),"n/m",O62/N62-1)</f>
        <v>0.45888354671533116</v>
      </c>
      <c r="P45" s="6">
        <f t="shared" ref="P45:S45" si="40">IF(OR(P62&lt;0,O62&lt;0),"n/m",P62/O62-1)</f>
        <v>2.8280179900902924E-2</v>
      </c>
      <c r="Q45" s="6">
        <f t="shared" ref="Q45" si="41">IF(OR(Q62&lt;0,P62&lt;0),"n/m",Q62/P62-1)</f>
        <v>0.14908499285899546</v>
      </c>
      <c r="R45" s="6">
        <f t="shared" si="40"/>
        <v>0.25093269503642057</v>
      </c>
      <c r="S45" s="6">
        <f t="shared" si="40"/>
        <v>5.9791953417164034E-2</v>
      </c>
    </row>
    <row r="46" spans="1:19">
      <c r="A46" s="75" t="s">
        <v>54</v>
      </c>
      <c r="B46" s="69"/>
      <c r="C46" s="67"/>
      <c r="D46" s="67"/>
      <c r="E46" s="67"/>
      <c r="F46" s="67"/>
      <c r="G46" s="68"/>
      <c r="H46" s="67"/>
      <c r="I46" s="67"/>
      <c r="J46" s="67"/>
      <c r="K46" s="67"/>
      <c r="L46" s="67"/>
      <c r="M46" s="67"/>
      <c r="N46" s="67"/>
      <c r="O46" s="67"/>
      <c r="P46" s="67"/>
      <c r="Q46" s="67"/>
      <c r="R46" s="67"/>
      <c r="S46" s="67"/>
    </row>
    <row r="47" spans="1:19">
      <c r="A47" s="3" t="s">
        <v>53</v>
      </c>
      <c r="B47" s="74"/>
      <c r="C47" s="73"/>
      <c r="D47" s="73"/>
      <c r="E47" s="73"/>
      <c r="F47" s="72">
        <f t="shared" ref="F47:T47" si="42">NetDebt/EBITDA</f>
        <v>0.76502819415961532</v>
      </c>
      <c r="G47" s="72">
        <f t="shared" si="42"/>
        <v>0.28928429729290667</v>
      </c>
      <c r="H47" s="8">
        <f t="shared" si="42"/>
        <v>0.65525306895155189</v>
      </c>
      <c r="I47" s="8">
        <f t="shared" si="42"/>
        <v>0.47662529858029129</v>
      </c>
      <c r="J47" s="8">
        <f t="shared" si="42"/>
        <v>1.0382659437324269</v>
      </c>
      <c r="K47" s="8">
        <f t="shared" si="42"/>
        <v>0.88936274457366382</v>
      </c>
      <c r="L47" s="8">
        <f t="shared" si="42"/>
        <v>0.34236293784608635</v>
      </c>
      <c r="M47" s="8">
        <f t="shared" si="42"/>
        <v>1.2352236835890782</v>
      </c>
      <c r="N47" s="8">
        <f t="shared" si="42"/>
        <v>1.2798639376762995</v>
      </c>
      <c r="O47" s="8">
        <f t="shared" si="42"/>
        <v>1.163917790634527</v>
      </c>
      <c r="P47" s="8">
        <f t="shared" si="42"/>
        <v>1.1293787374450306</v>
      </c>
      <c r="Q47" s="8">
        <f t="shared" si="42"/>
        <v>0.88190723710733465</v>
      </c>
      <c r="R47" s="8">
        <f t="shared" si="42"/>
        <v>0.44367375860951952</v>
      </c>
      <c r="S47" s="8">
        <f t="shared" si="42"/>
        <v>0.17569425258631394</v>
      </c>
    </row>
    <row r="48" spans="1:19">
      <c r="A48" s="3" t="s">
        <v>52</v>
      </c>
      <c r="B48" s="74"/>
      <c r="C48" s="73"/>
      <c r="D48" s="73"/>
      <c r="E48" s="73"/>
      <c r="F48" s="72">
        <f t="shared" ref="F48:T48" si="43">NetDebt/Revenue</f>
        <v>0.13763643863457722</v>
      </c>
      <c r="G48" s="72">
        <f t="shared" si="43"/>
        <v>6.9977230452725192E-2</v>
      </c>
      <c r="H48" s="8">
        <f t="shared" si="43"/>
        <v>0.21704116570066762</v>
      </c>
      <c r="I48" s="8">
        <f t="shared" si="43"/>
        <v>0.13929835591301068</v>
      </c>
      <c r="J48" s="8">
        <f t="shared" si="43"/>
        <v>0.25265799197941313</v>
      </c>
      <c r="K48" s="8">
        <f t="shared" si="43"/>
        <v>0.26857067687431835</v>
      </c>
      <c r="L48" s="8">
        <f t="shared" si="43"/>
        <v>0.13998576676177515</v>
      </c>
      <c r="M48" s="8">
        <f t="shared" si="43"/>
        <v>0.44183600649721055</v>
      </c>
      <c r="N48" s="8">
        <f t="shared" si="43"/>
        <v>0.42048083121588015</v>
      </c>
      <c r="O48" s="8">
        <f t="shared" si="43"/>
        <v>0.43878015198232362</v>
      </c>
      <c r="P48" s="8">
        <f t="shared" si="43"/>
        <v>0.43741058024674512</v>
      </c>
      <c r="Q48" s="8">
        <f t="shared" si="43"/>
        <v>0.35082261740406923</v>
      </c>
      <c r="R48" s="8">
        <f t="shared" si="43"/>
        <v>0.18565993432843042</v>
      </c>
      <c r="S48" s="8">
        <f t="shared" si="43"/>
        <v>7.4494599919704294E-2</v>
      </c>
    </row>
    <row r="49" spans="1:19">
      <c r="B49" s="74"/>
      <c r="C49" s="73"/>
      <c r="D49" s="73"/>
      <c r="E49" s="73"/>
      <c r="F49" s="73"/>
      <c r="G49" s="72"/>
      <c r="H49" s="8"/>
      <c r="I49" s="8"/>
    </row>
    <row r="50" spans="1:19" ht="12.75" thickBot="1">
      <c r="A50" s="50"/>
      <c r="B50" s="71"/>
      <c r="C50" s="58"/>
      <c r="D50" s="58"/>
      <c r="E50" s="47"/>
      <c r="F50" s="47"/>
      <c r="G50" s="46"/>
    </row>
    <row r="51" spans="1:19">
      <c r="A51" s="70" t="s">
        <v>51</v>
      </c>
      <c r="B51" s="69">
        <f>YEAR</f>
        <v>2005</v>
      </c>
      <c r="C51" s="67">
        <f t="shared" ref="C51:L51" si="44">C1</f>
        <v>2006</v>
      </c>
      <c r="D51" s="67">
        <f t="shared" si="44"/>
        <v>2007</v>
      </c>
      <c r="E51" s="67">
        <f t="shared" si="44"/>
        <v>2008</v>
      </c>
      <c r="F51" s="67">
        <f t="shared" si="44"/>
        <v>2009</v>
      </c>
      <c r="G51" s="68">
        <f t="shared" si="44"/>
        <v>2010</v>
      </c>
      <c r="H51" s="67">
        <f t="shared" si="44"/>
        <v>2011</v>
      </c>
      <c r="I51" s="67">
        <f t="shared" si="44"/>
        <v>2012</v>
      </c>
      <c r="J51" s="67">
        <f t="shared" si="44"/>
        <v>2013</v>
      </c>
      <c r="K51" s="67">
        <f t="shared" si="44"/>
        <v>2014</v>
      </c>
      <c r="L51" s="67">
        <f t="shared" si="44"/>
        <v>2015</v>
      </c>
      <c r="M51" s="67">
        <f t="shared" ref="M51:O51" si="45">M1</f>
        <v>2016</v>
      </c>
      <c r="N51" s="67">
        <f t="shared" si="45"/>
        <v>2017</v>
      </c>
      <c r="O51" s="67">
        <f t="shared" si="45"/>
        <v>2018</v>
      </c>
      <c r="P51" s="67">
        <f t="shared" ref="P51:Q51" si="46">P1</f>
        <v>2019</v>
      </c>
      <c r="Q51" s="67">
        <f t="shared" si="46"/>
        <v>2020</v>
      </c>
      <c r="R51" s="67">
        <f t="shared" ref="R51:S51" si="47">R1</f>
        <v>2021</v>
      </c>
      <c r="S51" s="67">
        <f t="shared" ref="S51" si="48">S1</f>
        <v>2022</v>
      </c>
    </row>
    <row r="52" spans="1:19" s="10" customFormat="1">
      <c r="A52" s="54" t="s">
        <v>1</v>
      </c>
      <c r="B52" s="24"/>
      <c r="C52" s="22"/>
      <c r="D52" s="22"/>
      <c r="E52" s="22"/>
      <c r="F52" s="22">
        <v>1182.4148976377953</v>
      </c>
      <c r="G52" s="23">
        <f>model!C9</f>
        <v>1465.5467720685112</v>
      </c>
      <c r="H52" s="23">
        <f>model!D9</f>
        <v>2148.0272108843537</v>
      </c>
      <c r="I52" s="23">
        <f>model!E9</f>
        <v>2228.0204745195251</v>
      </c>
      <c r="J52" s="23">
        <f>model!F9</f>
        <v>2069.3886517700225</v>
      </c>
      <c r="K52" s="23">
        <f>model!G9</f>
        <v>1850.3235827077399</v>
      </c>
      <c r="L52" s="23">
        <f>model!H9</f>
        <v>1659.5866257428329</v>
      </c>
      <c r="M52" s="23">
        <f>model!I9</f>
        <v>1277.3939753595116</v>
      </c>
      <c r="N52" s="23">
        <f>model!J9</f>
        <v>1549.2762662651896</v>
      </c>
      <c r="O52" s="23">
        <f>model!K9</f>
        <v>1696.9191625881242</v>
      </c>
      <c r="P52" s="23">
        <f>model!L9</f>
        <v>1742.6107116989856</v>
      </c>
      <c r="Q52" s="23">
        <f>model!M9</f>
        <v>1895.8245174588499</v>
      </c>
      <c r="R52" s="23">
        <f>model!N9</f>
        <v>2129.7714979548628</v>
      </c>
      <c r="S52" s="23">
        <f>model!O9</f>
        <v>2160.7565453132893</v>
      </c>
    </row>
    <row r="53" spans="1:19">
      <c r="A53" s="58" t="s">
        <v>50</v>
      </c>
      <c r="B53" s="66"/>
      <c r="C53" s="64"/>
      <c r="D53" s="64"/>
      <c r="E53" s="64"/>
      <c r="F53" s="65">
        <v>-1013.140251968504</v>
      </c>
      <c r="G53" s="65">
        <f>model!C61</f>
        <v>-1176.0210803689065</v>
      </c>
      <c r="H53" s="65">
        <f>model!D61</f>
        <v>-1524.6598639455783</v>
      </c>
      <c r="I53" s="65">
        <f>model!E61</f>
        <v>-1634.2272156585004</v>
      </c>
      <c r="J53" s="65">
        <f>model!F61</f>
        <v>-1659.9610846095907</v>
      </c>
      <c r="K53" s="65">
        <f>model!G61</f>
        <v>-1418.8454568987834</v>
      </c>
      <c r="L53" s="65">
        <f>model!H61</f>
        <v>-1070.2834193169203</v>
      </c>
      <c r="M53" s="65">
        <f>model!I61</f>
        <v>-914.63164298537333</v>
      </c>
      <c r="N53" s="65">
        <f>model!J61</f>
        <v>-1178.6041509839768</v>
      </c>
      <c r="O53" s="65">
        <f>model!K61</f>
        <v>-1194.4239619522991</v>
      </c>
      <c r="P53" s="65">
        <f>model!L61</f>
        <v>-1217.446804366029</v>
      </c>
      <c r="Q53" s="65">
        <f>model!M61</f>
        <v>-1301.5094756144554</v>
      </c>
      <c r="R53" s="65">
        <f>model!N61</f>
        <v>-1402.2679875578872</v>
      </c>
      <c r="S53" s="65">
        <f>model!O61</f>
        <v>-1396.5518436688519</v>
      </c>
    </row>
    <row r="54" spans="1:19" s="10" customFormat="1">
      <c r="A54" s="59" t="s">
        <v>49</v>
      </c>
      <c r="B54" s="15"/>
      <c r="C54" s="12"/>
      <c r="D54" s="12"/>
      <c r="E54" s="12"/>
      <c r="F54" s="14">
        <f t="shared" ref="F54" si="49">F52+F53</f>
        <v>169.27464566929132</v>
      </c>
      <c r="G54" s="14">
        <f t="shared" ref="G54:K54" si="50">G52+G53</f>
        <v>289.52569169960475</v>
      </c>
      <c r="H54" s="13">
        <f t="shared" si="50"/>
        <v>623.36734693877543</v>
      </c>
      <c r="I54" s="12">
        <f t="shared" si="50"/>
        <v>593.7932588610247</v>
      </c>
      <c r="J54" s="12">
        <f t="shared" si="50"/>
        <v>409.42756716043186</v>
      </c>
      <c r="K54" s="12">
        <f t="shared" si="50"/>
        <v>431.47812580895652</v>
      </c>
      <c r="L54" s="12">
        <f>L52+L53</f>
        <v>589.30320642591255</v>
      </c>
      <c r="M54" s="12">
        <f t="shared" ref="M54:O54" si="51">M52+M53</f>
        <v>362.76233237413828</v>
      </c>
      <c r="N54" s="12">
        <f t="shared" si="51"/>
        <v>370.67211528121288</v>
      </c>
      <c r="O54" s="12">
        <f t="shared" si="51"/>
        <v>502.49520063582509</v>
      </c>
      <c r="P54" s="12">
        <f t="shared" ref="P54:Q54" si="52">P52+P53</f>
        <v>525.16390733295657</v>
      </c>
      <c r="Q54" s="12">
        <f t="shared" si="52"/>
        <v>594.3150418443945</v>
      </c>
      <c r="R54" s="12">
        <f t="shared" ref="R54:S54" si="53">R52+R53</f>
        <v>727.50351039697557</v>
      </c>
      <c r="S54" s="12">
        <f t="shared" ref="S54" si="54">S52+S53</f>
        <v>764.20470164443736</v>
      </c>
    </row>
    <row r="55" spans="1:19">
      <c r="A55" s="58" t="s">
        <v>48</v>
      </c>
      <c r="B55" s="40"/>
      <c r="C55" s="37"/>
      <c r="D55" s="37"/>
      <c r="E55" s="37"/>
      <c r="F55" s="39">
        <v>0</v>
      </c>
      <c r="G55" s="39">
        <v>0</v>
      </c>
      <c r="H55" s="38">
        <v>0</v>
      </c>
      <c r="I55" s="37">
        <v>0</v>
      </c>
      <c r="J55" s="37">
        <v>0</v>
      </c>
      <c r="K55" s="37">
        <v>0</v>
      </c>
      <c r="L55" s="37">
        <v>0</v>
      </c>
      <c r="M55" s="37">
        <v>0</v>
      </c>
      <c r="N55" s="37">
        <v>0</v>
      </c>
      <c r="O55" s="37">
        <v>0</v>
      </c>
      <c r="P55" s="37">
        <v>0</v>
      </c>
      <c r="Q55" s="37">
        <v>0</v>
      </c>
      <c r="R55" s="37">
        <v>0</v>
      </c>
      <c r="S55" s="37">
        <v>1</v>
      </c>
    </row>
    <row r="56" spans="1:19">
      <c r="A56" s="59" t="s">
        <v>10</v>
      </c>
      <c r="B56" s="15"/>
      <c r="C56" s="12"/>
      <c r="D56" s="12"/>
      <c r="E56" s="12"/>
      <c r="F56" s="14">
        <f t="shared" ref="F56" si="55">F54+F55</f>
        <v>169.27464566929132</v>
      </c>
      <c r="G56" s="14">
        <f t="shared" ref="G56:L56" si="56">G54+G55</f>
        <v>289.52569169960475</v>
      </c>
      <c r="H56" s="13">
        <f t="shared" si="56"/>
        <v>623.36734693877543</v>
      </c>
      <c r="I56" s="12">
        <f t="shared" si="56"/>
        <v>593.7932588610247</v>
      </c>
      <c r="J56" s="12">
        <f t="shared" si="56"/>
        <v>409.42756716043186</v>
      </c>
      <c r="K56" s="12">
        <f t="shared" si="56"/>
        <v>431.47812580895652</v>
      </c>
      <c r="L56" s="12">
        <f t="shared" si="56"/>
        <v>589.30320642591255</v>
      </c>
      <c r="M56" s="12">
        <f t="shared" ref="M56:O56" si="57">M54+M55</f>
        <v>362.76233237413828</v>
      </c>
      <c r="N56" s="12">
        <f t="shared" si="57"/>
        <v>370.67211528121288</v>
      </c>
      <c r="O56" s="12">
        <f t="shared" si="57"/>
        <v>502.49520063582509</v>
      </c>
      <c r="P56" s="12">
        <f t="shared" ref="P56:Q56" si="58">P54+P55</f>
        <v>525.16390733295657</v>
      </c>
      <c r="Q56" s="12">
        <f t="shared" si="58"/>
        <v>594.3150418443945</v>
      </c>
      <c r="R56" s="12">
        <f t="shared" ref="R56:S56" si="59">R54+R55</f>
        <v>727.50351039697557</v>
      </c>
      <c r="S56" s="12">
        <f t="shared" ref="S56" si="60">S54+S55</f>
        <v>765.20470164443736</v>
      </c>
    </row>
    <row r="57" spans="1:19">
      <c r="A57" s="58" t="s">
        <v>47</v>
      </c>
      <c r="B57" s="40"/>
      <c r="C57" s="37"/>
      <c r="D57" s="37"/>
      <c r="E57" s="37"/>
      <c r="F57" s="37">
        <v>0</v>
      </c>
      <c r="G57" s="39">
        <f>model!C131+model!C132</f>
        <v>-10.44137022397892</v>
      </c>
      <c r="H57" s="39">
        <f>model!D131+model!D132</f>
        <v>252.00680272108843</v>
      </c>
      <c r="I57" s="39">
        <f>model!E131+model!E132</f>
        <v>23.436242474970221</v>
      </c>
      <c r="J57" s="39">
        <f>model!F131+model!F132</f>
        <v>91.545317599799148</v>
      </c>
      <c r="K57" s="39">
        <f>model!G131+model!G132</f>
        <v>-208.36137716800411</v>
      </c>
      <c r="L57" s="39">
        <f>model!H131+model!H132</f>
        <v>-194.96506236531053</v>
      </c>
      <c r="M57" s="39">
        <f>model!I131+model!I132</f>
        <v>188.00222443670617</v>
      </c>
      <c r="N57" s="39">
        <f>model!J131+model!J132</f>
        <v>-2.1163565974836001</v>
      </c>
      <c r="O57" s="39">
        <f>model!K131+model!K132</f>
        <v>-75.333345636956196</v>
      </c>
      <c r="P57" s="39">
        <f>model!L131+model!L132</f>
        <v>-22.038037680966269</v>
      </c>
      <c r="Q57" s="39">
        <f>model!M131+model!M132</f>
        <v>-21.270145916485962</v>
      </c>
      <c r="R57" s="39">
        <f>model!N131+model!N132</f>
        <v>-18.9423493910523</v>
      </c>
      <c r="S57" s="39">
        <f>model!O131+model!O132</f>
        <v>-17.731048890100986</v>
      </c>
    </row>
    <row r="58" spans="1:19">
      <c r="A58" s="58" t="s">
        <v>46</v>
      </c>
      <c r="B58" s="40"/>
      <c r="C58" s="37"/>
      <c r="D58" s="37"/>
      <c r="E58" s="37"/>
      <c r="F58" s="37">
        <v>108.01735433070866</v>
      </c>
      <c r="G58" s="39">
        <f>model!C118+model!C121+model!C130</f>
        <v>-9.5191040843214765</v>
      </c>
      <c r="H58" s="39">
        <f>model!D118+model!D121+model!D130</f>
        <v>-7.2108843537414966</v>
      </c>
      <c r="I58" s="39">
        <f>model!E118+model!E121+model!E130</f>
        <v>-80.385023983517371</v>
      </c>
      <c r="J58" s="39">
        <f>model!F118+model!F121+model!F130</f>
        <v>-72.401456188802399</v>
      </c>
      <c r="K58" s="39">
        <f>model!G118+model!G121+model!G130</f>
        <v>-53.53352316852186</v>
      </c>
      <c r="L58" s="39">
        <f>model!H118+model!H121+model!H130</f>
        <v>-72.471102984392346</v>
      </c>
      <c r="M58" s="39">
        <f>model!I118+model!I121+model!I130</f>
        <v>-74.361874050602196</v>
      </c>
      <c r="N58" s="39">
        <f>model!J118+model!J121+model!J130</f>
        <v>-62.974513388536387</v>
      </c>
      <c r="O58" s="39">
        <f>model!K118+model!K121+model!K130</f>
        <v>-63.189666674521099</v>
      </c>
      <c r="P58" s="39">
        <f>model!L118+model!L121+model!L130</f>
        <v>-62.877448406785611</v>
      </c>
      <c r="Q58" s="39">
        <f>model!M118+model!M121+model!M130</f>
        <v>-62.336527118067174</v>
      </c>
      <c r="R58" s="39">
        <f>model!N118+model!N121+model!N130</f>
        <v>-60.574160590027255</v>
      </c>
      <c r="S58" s="39">
        <f>model!O118+model!O121+model!O130</f>
        <v>-56.951885969225408</v>
      </c>
    </row>
    <row r="59" spans="1:19">
      <c r="A59" s="59" t="s">
        <v>45</v>
      </c>
      <c r="B59" s="15"/>
      <c r="C59" s="12"/>
      <c r="D59" s="12"/>
      <c r="E59" s="12"/>
      <c r="F59" s="14">
        <f t="shared" ref="F59:L59" si="61">F56+F57+F58</f>
        <v>277.29199999999997</v>
      </c>
      <c r="G59" s="14">
        <f t="shared" si="61"/>
        <v>269.56521739130432</v>
      </c>
      <c r="H59" s="13">
        <f t="shared" si="61"/>
        <v>868.16326530612241</v>
      </c>
      <c r="I59" s="12">
        <f t="shared" si="61"/>
        <v>536.8444773524775</v>
      </c>
      <c r="J59" s="12">
        <f t="shared" si="61"/>
        <v>428.57142857142861</v>
      </c>
      <c r="K59" s="12">
        <f t="shared" si="61"/>
        <v>169.58322547243054</v>
      </c>
      <c r="L59" s="12">
        <f t="shared" si="61"/>
        <v>321.86704107620966</v>
      </c>
      <c r="M59" s="12">
        <f t="shared" ref="M59:O59" si="62">M56+M57+M58</f>
        <v>476.40268276024221</v>
      </c>
      <c r="N59" s="12">
        <f t="shared" si="62"/>
        <v>305.5812452951929</v>
      </c>
      <c r="O59" s="12">
        <f t="shared" si="62"/>
        <v>363.97218832434777</v>
      </c>
      <c r="P59" s="12">
        <f t="shared" ref="P59:Q59" si="63">P56+P57+P58</f>
        <v>440.24842124520467</v>
      </c>
      <c r="Q59" s="12">
        <f t="shared" si="63"/>
        <v>510.70836880984137</v>
      </c>
      <c r="R59" s="12">
        <f t="shared" ref="R59:S59" si="64">R56+R57+R58</f>
        <v>647.98700041589598</v>
      </c>
      <c r="S59" s="12">
        <f t="shared" ref="S59" si="65">S56+S57+S58</f>
        <v>690.52176678511103</v>
      </c>
    </row>
    <row r="60" spans="1:19">
      <c r="A60" s="58" t="s">
        <v>3</v>
      </c>
      <c r="B60" s="40"/>
      <c r="C60" s="37"/>
      <c r="D60" s="37"/>
      <c r="E60" s="37"/>
      <c r="F60" s="37">
        <v>-48.753637795275594</v>
      </c>
      <c r="G60" s="39">
        <f>model!C133</f>
        <v>-62.747035573122531</v>
      </c>
      <c r="H60" s="39">
        <f>model!D135</f>
        <v>-137.00680272108843</v>
      </c>
      <c r="I60" s="39">
        <f>model!E135</f>
        <v>-83.861829185848123</v>
      </c>
      <c r="J60" s="39">
        <f>model!F135</f>
        <v>-81.753703238764743</v>
      </c>
      <c r="K60" s="39">
        <f>model!G135</f>
        <v>-52.032099404607813</v>
      </c>
      <c r="L60" s="39">
        <f>model!H135</f>
        <v>-40.455821850715076</v>
      </c>
      <c r="M60" s="39">
        <f>model!I135</f>
        <v>-58.656455158565763</v>
      </c>
      <c r="N60" s="39">
        <f>model!J135</f>
        <v>-47.196472739004193</v>
      </c>
      <c r="O60" s="39">
        <f>model!K135</f>
        <v>-58.23555013189565</v>
      </c>
      <c r="P60" s="39">
        <f>model!L135</f>
        <v>-70.439747399232743</v>
      </c>
      <c r="Q60" s="39">
        <f>model!M135</f>
        <v>-81.713339009574625</v>
      </c>
      <c r="R60" s="39">
        <f>model!N135</f>
        <v>-103.67792006654336</v>
      </c>
      <c r="S60" s="39">
        <f>model!O135</f>
        <v>-110.32348268561775</v>
      </c>
    </row>
    <row r="61" spans="1:19">
      <c r="A61" s="58" t="s">
        <v>23</v>
      </c>
      <c r="B61" s="57"/>
      <c r="C61" s="55"/>
      <c r="D61" s="55"/>
      <c r="E61" s="55"/>
      <c r="F61" s="56">
        <v>-5.5008188976377959</v>
      </c>
      <c r="G61" s="56">
        <f>model!C139</f>
        <v>-22.891963109354414</v>
      </c>
      <c r="H61" s="56">
        <f>model!D139</f>
        <v>-67.993197278911566</v>
      </c>
      <c r="I61" s="56">
        <f>model!E139</f>
        <v>-21.440298747706276</v>
      </c>
      <c r="J61" s="56">
        <f>model!F139</f>
        <v>-24.918403213658046</v>
      </c>
      <c r="K61" s="56">
        <f>model!G139</f>
        <v>-65.311933730261444</v>
      </c>
      <c r="L61" s="56">
        <f>model!H139</f>
        <v>-32.113237118787957</v>
      </c>
      <c r="M61" s="56">
        <f>model!I139</f>
        <v>9.405336408729049</v>
      </c>
      <c r="N61" s="56">
        <f>model!J139</f>
        <v>-14.24669319281643</v>
      </c>
      <c r="O61" s="56">
        <f>model!K139</f>
        <v>-16.907095199582614</v>
      </c>
      <c r="P61" s="56">
        <f>model!L139</f>
        <v>-20.450249244938547</v>
      </c>
      <c r="Q61" s="56">
        <f>model!M139</f>
        <v>-23.723227454392642</v>
      </c>
      <c r="R61" s="56">
        <f>model!N139</f>
        <v>-30.100041309641632</v>
      </c>
      <c r="S61" s="56">
        <f>model!O139</f>
        <v>-32.029398199050327</v>
      </c>
    </row>
    <row r="62" spans="1:19" s="10" customFormat="1" ht="12.75" thickBot="1">
      <c r="A62" s="63" t="s">
        <v>44</v>
      </c>
      <c r="B62" s="62"/>
      <c r="C62" s="60"/>
      <c r="D62" s="60"/>
      <c r="E62" s="60"/>
      <c r="F62" s="61">
        <f>F59+F60+F61</f>
        <v>223.03754330708657</v>
      </c>
      <c r="G62" s="61">
        <f>model!C138</f>
        <v>287.94466403162062</v>
      </c>
      <c r="H62" s="61">
        <f>model!D138</f>
        <v>490.61224489795916</v>
      </c>
      <c r="I62" s="61">
        <f>model!E138</f>
        <v>426.52029746000085</v>
      </c>
      <c r="J62" s="61">
        <f>model!F138</f>
        <v>262.08260105448164</v>
      </c>
      <c r="K62" s="61">
        <f>model!G138</f>
        <v>339.45120372767252</v>
      </c>
      <c r="L62" s="61">
        <f>model!H138</f>
        <v>483.51074250636708</v>
      </c>
      <c r="M62" s="61">
        <f>model!I138</f>
        <v>231.32648833850251</v>
      </c>
      <c r="N62" s="61">
        <f>model!J138</f>
        <v>261.2065813528335</v>
      </c>
      <c r="O62" s="61">
        <f>model!K138</f>
        <v>381.06998382940839</v>
      </c>
      <c r="P62" s="61">
        <f>model!L138</f>
        <v>391.84671152693824</v>
      </c>
      <c r="Q62" s="61">
        <f>model!M138</f>
        <v>450.26517571675271</v>
      </c>
      <c r="R62" s="61">
        <f>model!N138</f>
        <v>563.25142974040489</v>
      </c>
      <c r="S62" s="61">
        <f>model!O138</f>
        <v>596.92933298959417</v>
      </c>
    </row>
    <row r="63" spans="1:19" ht="12.75" thickTop="1">
      <c r="A63" s="59"/>
      <c r="B63" s="29"/>
      <c r="C63" s="28"/>
      <c r="D63" s="28"/>
      <c r="E63" s="28"/>
      <c r="F63" s="28"/>
      <c r="G63" s="27"/>
      <c r="H63" s="26"/>
      <c r="I63" s="26"/>
      <c r="J63" s="26"/>
      <c r="K63" s="26"/>
      <c r="L63" s="26"/>
      <c r="M63" s="26"/>
      <c r="N63" s="26"/>
      <c r="O63" s="26"/>
      <c r="P63" s="26"/>
      <c r="Q63" s="26"/>
      <c r="R63" s="26"/>
      <c r="S63" s="26"/>
    </row>
    <row r="64" spans="1:19">
      <c r="A64" s="58" t="s">
        <v>43</v>
      </c>
      <c r="B64" s="57"/>
      <c r="C64" s="55"/>
      <c r="D64" s="55"/>
      <c r="E64" s="55"/>
      <c r="F64" s="55">
        <v>-43.453952755905512</v>
      </c>
      <c r="G64" s="56">
        <f>model!C110</f>
        <v>-49.110671936758891</v>
      </c>
      <c r="H64" s="56">
        <f>model!D110</f>
        <v>-65.204081632653057</v>
      </c>
      <c r="I64" s="56">
        <f>model!E110</f>
        <v>-63.419502301773818</v>
      </c>
      <c r="J64" s="56">
        <f>model!F110</f>
        <v>-80.529751443635448</v>
      </c>
      <c r="K64" s="56">
        <f>model!G110</f>
        <v>-100.20709293295366</v>
      </c>
      <c r="L64" s="56">
        <f>model!H110</f>
        <v>-75.001632599751844</v>
      </c>
      <c r="M64" s="56">
        <f>model!I110</f>
        <v>-90.992897478100872</v>
      </c>
      <c r="N64" s="56">
        <f>model!J110</f>
        <v>-136.90934509086998</v>
      </c>
      <c r="O64" s="56">
        <f>model!K110</f>
        <v>-137.21875</v>
      </c>
      <c r="P64" s="56">
        <f>model!L110</f>
        <v>-149.75260851436485</v>
      </c>
      <c r="Q64" s="56">
        <f>model!M110</f>
        <v>-159.84377596421007</v>
      </c>
      <c r="R64" s="56">
        <f>model!N110</f>
        <v>-163.72169454661631</v>
      </c>
      <c r="S64" s="56">
        <f>model!O110</f>
        <v>-151.95898611147376</v>
      </c>
    </row>
    <row r="65" spans="1:21" s="10" customFormat="1">
      <c r="A65" s="54" t="s">
        <v>4</v>
      </c>
      <c r="B65" s="53"/>
      <c r="C65" s="51"/>
      <c r="D65" s="51"/>
      <c r="E65" s="51"/>
      <c r="F65" s="52">
        <f>F56-F64</f>
        <v>212.72859842519682</v>
      </c>
      <c r="G65" s="52">
        <f>model!C115</f>
        <v>354.51251646903825</v>
      </c>
      <c r="H65" s="52">
        <f>model!D115</f>
        <v>711.49659863945567</v>
      </c>
      <c r="I65" s="52">
        <f>model!E115</f>
        <v>651.1605446994821</v>
      </c>
      <c r="J65" s="52">
        <f>model!F115</f>
        <v>503.57770524730103</v>
      </c>
      <c r="K65" s="52">
        <f>model!G115</f>
        <v>558.76261972560155</v>
      </c>
      <c r="L65" s="52">
        <f>model!H115</f>
        <v>678.57376085678823</v>
      </c>
      <c r="M65" s="52">
        <f>model!I115</f>
        <v>456.92020019930351</v>
      </c>
      <c r="N65" s="52">
        <f>model!J115</f>
        <v>508.99236477040523</v>
      </c>
      <c r="O65" s="52">
        <f>model!K115</f>
        <v>639.71395063582509</v>
      </c>
      <c r="P65" s="52">
        <f>model!L115</f>
        <v>674.91651584732142</v>
      </c>
      <c r="Q65" s="52">
        <f>model!M115</f>
        <v>754.15881780860457</v>
      </c>
      <c r="R65" s="52">
        <f>model!N115</f>
        <v>891.22520494359185</v>
      </c>
      <c r="S65" s="52">
        <f>model!O115</f>
        <v>916.16368775591116</v>
      </c>
    </row>
    <row r="66" spans="1:21">
      <c r="A66" s="5"/>
      <c r="B66" s="29"/>
      <c r="C66" s="28"/>
      <c r="D66" s="28"/>
      <c r="E66" s="47"/>
      <c r="F66" s="47"/>
      <c r="G66" s="46"/>
    </row>
    <row r="67" spans="1:21" ht="12.75" thickBot="1">
      <c r="A67" s="50"/>
      <c r="B67" s="49"/>
      <c r="C67" s="48"/>
      <c r="D67" s="48"/>
      <c r="E67" s="47"/>
      <c r="F67" s="47"/>
      <c r="G67" s="46"/>
    </row>
    <row r="68" spans="1:21" ht="12.75" thickBot="1">
      <c r="A68" s="45" t="s">
        <v>42</v>
      </c>
      <c r="B68" s="44">
        <f t="shared" ref="B68:T68" si="66">YEAR</f>
        <v>2005</v>
      </c>
      <c r="C68" s="42">
        <f t="shared" si="66"/>
        <v>2006</v>
      </c>
      <c r="D68" s="42">
        <f t="shared" si="66"/>
        <v>2007</v>
      </c>
      <c r="E68" s="42">
        <f t="shared" si="66"/>
        <v>2008</v>
      </c>
      <c r="F68" s="42">
        <f t="shared" si="66"/>
        <v>2009</v>
      </c>
      <c r="G68" s="43">
        <f t="shared" si="66"/>
        <v>2010</v>
      </c>
      <c r="H68" s="42">
        <f t="shared" si="66"/>
        <v>2011</v>
      </c>
      <c r="I68" s="42">
        <f t="shared" si="66"/>
        <v>2012</v>
      </c>
      <c r="J68" s="42">
        <f t="shared" si="66"/>
        <v>2013</v>
      </c>
      <c r="K68" s="42">
        <f t="shared" si="66"/>
        <v>2014</v>
      </c>
      <c r="L68" s="42">
        <f t="shared" si="66"/>
        <v>2015</v>
      </c>
      <c r="M68" s="42">
        <f t="shared" si="66"/>
        <v>2016</v>
      </c>
      <c r="N68" s="42">
        <f t="shared" si="66"/>
        <v>2017</v>
      </c>
      <c r="O68" s="42">
        <f t="shared" si="66"/>
        <v>2018</v>
      </c>
      <c r="P68" s="42">
        <f t="shared" si="66"/>
        <v>2019</v>
      </c>
      <c r="Q68" s="42">
        <f t="shared" si="66"/>
        <v>2020</v>
      </c>
      <c r="R68" s="42">
        <f t="shared" si="66"/>
        <v>2021</v>
      </c>
      <c r="S68" s="42">
        <f t="shared" si="66"/>
        <v>2022</v>
      </c>
    </row>
    <row r="69" spans="1:21" s="10" customFormat="1">
      <c r="A69" s="21" t="s">
        <v>41</v>
      </c>
      <c r="B69" s="19">
        <f t="shared" ref="B69:L69" si="67">SUM(B70:B73)</f>
        <v>0</v>
      </c>
      <c r="C69" s="18">
        <f t="shared" si="67"/>
        <v>0</v>
      </c>
      <c r="D69" s="18">
        <f t="shared" si="67"/>
        <v>0</v>
      </c>
      <c r="E69" s="18">
        <f t="shared" si="67"/>
        <v>0</v>
      </c>
      <c r="F69" s="17">
        <f t="shared" si="67"/>
        <v>627.56251664447404</v>
      </c>
      <c r="G69" s="17">
        <f t="shared" si="67"/>
        <v>741.60622236777465</v>
      </c>
      <c r="H69" s="16">
        <f t="shared" si="67"/>
        <v>1124.9533291848165</v>
      </c>
      <c r="I69" s="16">
        <f t="shared" si="67"/>
        <v>2437.4341412012641</v>
      </c>
      <c r="J69" s="16">
        <f t="shared" si="67"/>
        <v>976.23973227867361</v>
      </c>
      <c r="K69" s="16">
        <f t="shared" si="67"/>
        <v>902.09392441963803</v>
      </c>
      <c r="L69" s="16">
        <f t="shared" si="67"/>
        <v>823.4601626997902</v>
      </c>
      <c r="M69" s="16">
        <f t="shared" ref="M69:O69" si="68">SUM(M70:M73)</f>
        <v>846.863438023659</v>
      </c>
      <c r="N69" s="16">
        <f t="shared" si="68"/>
        <v>696.16319444444446</v>
      </c>
      <c r="O69" s="16">
        <f t="shared" si="68"/>
        <v>369.64151540107491</v>
      </c>
      <c r="P69" s="16">
        <f t="shared" ref="P69:Q69" si="69">SUM(P70:P73)</f>
        <v>324.39895073072279</v>
      </c>
      <c r="Q69" s="16">
        <f t="shared" si="69"/>
        <v>391.90195234751798</v>
      </c>
      <c r="R69" s="16">
        <f t="shared" ref="R69:S69" si="70">SUM(R70:R73)</f>
        <v>627.95853801511009</v>
      </c>
      <c r="S69" s="16">
        <f t="shared" ref="S69" si="71">SUM(S70:S73)</f>
        <v>828.19392721237239</v>
      </c>
    </row>
    <row r="70" spans="1:21">
      <c r="A70" s="41" t="s">
        <v>40</v>
      </c>
      <c r="B70" s="40"/>
      <c r="C70" s="37"/>
      <c r="D70" s="37"/>
      <c r="E70" s="37"/>
      <c r="F70" s="37">
        <v>256.52959387483355</v>
      </c>
      <c r="G70" s="39">
        <v>272.59469461273949</v>
      </c>
      <c r="H70" s="38">
        <v>420.3173615432483</v>
      </c>
      <c r="I70" s="37">
        <v>1557.8898840885142</v>
      </c>
      <c r="J70" s="37">
        <v>412.35168846972925</v>
      </c>
      <c r="K70" s="37">
        <v>440.34626186497917</v>
      </c>
      <c r="L70" s="37">
        <v>417.39672103256328</v>
      </c>
      <c r="M70" s="37">
        <v>450.7490916330695</v>
      </c>
      <c r="N70" s="37">
        <v>248.29861111111111</v>
      </c>
      <c r="O70" s="37">
        <f>model!K119</f>
        <v>205.27865611354144</v>
      </c>
      <c r="P70" s="37">
        <f>model!L119</f>
        <v>182.09519044097078</v>
      </c>
      <c r="Q70" s="37">
        <f>model!M119</f>
        <v>273.73986762707489</v>
      </c>
      <c r="R70" s="37">
        <f>model!N119</f>
        <v>538.39091602866813</v>
      </c>
      <c r="S70" s="37">
        <f>model!O119</f>
        <v>768.01603312766474</v>
      </c>
    </row>
    <row r="71" spans="1:21">
      <c r="A71" s="41" t="s">
        <v>39</v>
      </c>
      <c r="B71" s="40"/>
      <c r="C71" s="37"/>
      <c r="D71" s="37"/>
      <c r="E71" s="37"/>
      <c r="F71" s="37">
        <v>143.49314247669773</v>
      </c>
      <c r="G71" s="39">
        <v>194.03327329294251</v>
      </c>
      <c r="H71" s="38">
        <v>332.76291225886746</v>
      </c>
      <c r="I71" s="37">
        <v>316.84668071654374</v>
      </c>
      <c r="J71" s="37">
        <v>219.13599026467907</v>
      </c>
      <c r="K71" s="37">
        <v>216.07593586689893</v>
      </c>
      <c r="L71" s="37">
        <v>150.28257734688754</v>
      </c>
      <c r="M71" s="37">
        <v>142.12002057305924</v>
      </c>
      <c r="N71" s="37">
        <v>172.56944444444443</v>
      </c>
      <c r="O71" s="37">
        <f t="shared" ref="N71:Q71" si="72">IF(O96&lt;0,0,O96)</f>
        <v>164.3628592875335</v>
      </c>
      <c r="P71" s="37">
        <f t="shared" si="72"/>
        <v>142.30376028975201</v>
      </c>
      <c r="Q71" s="37">
        <f t="shared" si="72"/>
        <v>118.16208472044309</v>
      </c>
      <c r="R71" s="37">
        <f t="shared" ref="R71:S71" si="73">IF(R96&lt;0,0,R96)</f>
        <v>89.567621986441964</v>
      </c>
      <c r="S71" s="37">
        <f t="shared" ref="S71" si="74">IF(S96&lt;0,0,S96)</f>
        <v>60.177894084707646</v>
      </c>
    </row>
    <row r="72" spans="1:21">
      <c r="A72" s="41" t="s">
        <v>38</v>
      </c>
      <c r="B72" s="40"/>
      <c r="C72" s="37"/>
      <c r="D72" s="37"/>
      <c r="E72" s="37"/>
      <c r="F72" s="37">
        <v>195.02157123834888</v>
      </c>
      <c r="G72" s="39">
        <v>234.64545603405929</v>
      </c>
      <c r="H72" s="38">
        <v>285.59427504667082</v>
      </c>
      <c r="I72" s="37">
        <v>427.02845100105378</v>
      </c>
      <c r="J72" s="37">
        <v>332.73501673258295</v>
      </c>
      <c r="K72" s="37">
        <v>238.54385154111415</v>
      </c>
      <c r="L72" s="37">
        <v>244.22805411983913</v>
      </c>
      <c r="M72" s="37">
        <v>239.79227846631161</v>
      </c>
      <c r="N72" s="37">
        <v>259.54861111111109</v>
      </c>
      <c r="O72" s="37"/>
      <c r="P72" s="37"/>
      <c r="Q72" s="37"/>
      <c r="R72" s="37"/>
      <c r="S72" s="37"/>
    </row>
    <row r="73" spans="1:21">
      <c r="A73" s="41" t="s">
        <v>37</v>
      </c>
      <c r="B73" s="40"/>
      <c r="C73" s="37"/>
      <c r="D73" s="37"/>
      <c r="E73" s="37"/>
      <c r="F73" s="37">
        <v>32.518209054593875</v>
      </c>
      <c r="G73" s="39">
        <v>40.332798428033371</v>
      </c>
      <c r="H73" s="38">
        <v>86.278780336029868</v>
      </c>
      <c r="I73" s="37">
        <v>135.6691253951528</v>
      </c>
      <c r="J73" s="37">
        <v>12.017036811682386</v>
      </c>
      <c r="K73" s="37">
        <v>7.1278751466458097</v>
      </c>
      <c r="L73" s="37">
        <v>11.552810200500256</v>
      </c>
      <c r="M73" s="37">
        <v>14.202047351218621</v>
      </c>
      <c r="N73" s="37">
        <v>15.746527777777777</v>
      </c>
      <c r="O73" s="37"/>
      <c r="P73" s="37"/>
      <c r="Q73" s="37"/>
      <c r="R73" s="37"/>
      <c r="S73" s="37"/>
    </row>
    <row r="74" spans="1:21" s="10" customFormat="1">
      <c r="A74" s="21" t="s">
        <v>36</v>
      </c>
      <c r="B74" s="19">
        <f t="shared" ref="B74:L74" si="75">SUM(B75:B77)</f>
        <v>0</v>
      </c>
      <c r="C74" s="18">
        <f t="shared" si="75"/>
        <v>0</v>
      </c>
      <c r="D74" s="18">
        <f t="shared" si="75"/>
        <v>0</v>
      </c>
      <c r="E74" s="18">
        <f t="shared" si="75"/>
        <v>0</v>
      </c>
      <c r="F74" s="17">
        <f t="shared" si="75"/>
        <v>2199.7270972037281</v>
      </c>
      <c r="G74" s="17">
        <f t="shared" si="75"/>
        <v>2470.3780252169645</v>
      </c>
      <c r="H74" s="16">
        <f t="shared" si="75"/>
        <v>2525.0155569383946</v>
      </c>
      <c r="I74" s="16">
        <f t="shared" si="75"/>
        <v>2719.9354583772392</v>
      </c>
      <c r="J74" s="16">
        <f t="shared" si="75"/>
        <v>3468.6644356556135</v>
      </c>
      <c r="K74" s="16">
        <f t="shared" si="75"/>
        <v>2580.7885100785661</v>
      </c>
      <c r="L74" s="16">
        <f t="shared" si="75"/>
        <v>2288.0326881413557</v>
      </c>
      <c r="M74" s="16">
        <f t="shared" ref="M74:O74" si="76">SUM(M75:M77)</f>
        <v>2376.5865312826636</v>
      </c>
      <c r="N74" s="16">
        <f t="shared" si="76"/>
        <v>2548.5243055555557</v>
      </c>
      <c r="O74" s="16">
        <f t="shared" si="76"/>
        <v>2606.5895935229873</v>
      </c>
      <c r="P74" s="16">
        <f t="shared" ref="P74:Q74" si="77">SUM(P75:P77)</f>
        <v>2691.688896291696</v>
      </c>
      <c r="Q74" s="16">
        <f t="shared" si="77"/>
        <v>2709.1051660586227</v>
      </c>
      <c r="R74" s="16">
        <f t="shared" ref="R74:S74" si="78">SUM(R75:R77)</f>
        <v>2555.8974769471056</v>
      </c>
      <c r="S74" s="16">
        <f t="shared" ref="S74" si="79">SUM(S75:S77)</f>
        <v>2396.0027753982408</v>
      </c>
      <c r="U74" s="3"/>
    </row>
    <row r="75" spans="1:21">
      <c r="A75" s="41" t="s">
        <v>35</v>
      </c>
      <c r="B75" s="40"/>
      <c r="C75" s="37"/>
      <c r="D75" s="37"/>
      <c r="E75" s="37"/>
      <c r="F75" s="37">
        <v>1403.6200066577894</v>
      </c>
      <c r="G75" s="39">
        <v>788.96666120844941</v>
      </c>
      <c r="H75" s="38">
        <v>1041.4436838830118</v>
      </c>
      <c r="I75" s="37">
        <v>1576.1986301369864</v>
      </c>
      <c r="J75" s="37">
        <v>1857.8643139641013</v>
      </c>
      <c r="K75" s="37">
        <v>1289.6299193003661</v>
      </c>
      <c r="L75" s="37">
        <v>1161.8669451049427</v>
      </c>
      <c r="M75" s="37">
        <v>1396.5291258108937</v>
      </c>
      <c r="N75" s="37">
        <v>1524.6527777777778</v>
      </c>
      <c r="O75" s="37">
        <f>model!K142</f>
        <v>1663.9178723818318</v>
      </c>
      <c r="P75" s="37">
        <f>model!L142</f>
        <v>1776.0419551578896</v>
      </c>
      <c r="Q75" s="37">
        <f>model!M142</f>
        <v>1819.1299394068481</v>
      </c>
      <c r="R75" s="37">
        <f>model!N142</f>
        <v>1688.4331790163753</v>
      </c>
      <c r="S75" s="37">
        <f>model!O142</f>
        <v>1549.2912118677673</v>
      </c>
    </row>
    <row r="76" spans="1:21">
      <c r="A76" s="41" t="s">
        <v>34</v>
      </c>
      <c r="B76" s="40"/>
      <c r="C76" s="37"/>
      <c r="D76" s="37"/>
      <c r="E76" s="37"/>
      <c r="F76" s="37">
        <v>685.58282290279624</v>
      </c>
      <c r="G76" s="39">
        <v>799.02829539872278</v>
      </c>
      <c r="H76" s="38">
        <v>620.72184194150589</v>
      </c>
      <c r="I76" s="37">
        <v>158.85142255005269</v>
      </c>
      <c r="J76" s="37">
        <v>597.65743839367212</v>
      </c>
      <c r="K76" s="37">
        <v>508.03441288350098</v>
      </c>
      <c r="L76" s="37">
        <v>499.30916390309358</v>
      </c>
      <c r="M76" s="37">
        <v>298.06049143065718</v>
      </c>
      <c r="N76" s="37">
        <v>394.0625</v>
      </c>
      <c r="O76" s="37">
        <f>model!K125</f>
        <v>329.77025104428861</v>
      </c>
      <c r="P76" s="37">
        <f>model!L125</f>
        <v>320.31630404707545</v>
      </c>
      <c r="Q76" s="37">
        <f>model!M125</f>
        <v>311.33569336403878</v>
      </c>
      <c r="R76" s="37">
        <f>model!N125</f>
        <v>303.46080494944567</v>
      </c>
      <c r="S76" s="37">
        <f>model!O125</f>
        <v>296.20097707984178</v>
      </c>
    </row>
    <row r="77" spans="1:21">
      <c r="A77" s="41" t="s">
        <v>33</v>
      </c>
      <c r="B77" s="40"/>
      <c r="C77" s="37"/>
      <c r="D77" s="37"/>
      <c r="E77" s="37"/>
      <c r="F77" s="37">
        <v>110.52426764314248</v>
      </c>
      <c r="G77" s="39">
        <v>882.38306860979196</v>
      </c>
      <c r="H77" s="38">
        <v>862.85003111387675</v>
      </c>
      <c r="I77" s="38">
        <v>984.88540569020029</v>
      </c>
      <c r="J77" s="37">
        <v>1013.1426832978401</v>
      </c>
      <c r="K77" s="37">
        <v>783.12417789469941</v>
      </c>
      <c r="L77" s="37">
        <v>626.85657913331966</v>
      </c>
      <c r="M77" s="37">
        <v>681.99691404111286</v>
      </c>
      <c r="N77" s="37">
        <v>629.80902777777771</v>
      </c>
      <c r="O77" s="37">
        <f>N77*model!J8/model!K8</f>
        <v>612.90147009686689</v>
      </c>
      <c r="P77" s="37">
        <f>O77*model!K8/model!L8</f>
        <v>595.3306370867308</v>
      </c>
      <c r="Q77" s="37">
        <f>P77*model!L8/model!M8</f>
        <v>578.63953328773596</v>
      </c>
      <c r="R77" s="37">
        <f>Q77*model!M8/model!N8</f>
        <v>564.00349298128447</v>
      </c>
      <c r="S77" s="37">
        <f>R77*model!N8/model!O8</f>
        <v>550.51058645063176</v>
      </c>
    </row>
    <row r="78" spans="1:21" ht="12.75" thickBot="1">
      <c r="A78" s="36" t="s">
        <v>32</v>
      </c>
      <c r="B78" s="35">
        <f t="shared" ref="B78:L78" si="80">B74+B69</f>
        <v>0</v>
      </c>
      <c r="C78" s="33">
        <f t="shared" si="80"/>
        <v>0</v>
      </c>
      <c r="D78" s="33">
        <f t="shared" si="80"/>
        <v>0</v>
      </c>
      <c r="E78" s="33">
        <f t="shared" si="80"/>
        <v>0</v>
      </c>
      <c r="F78" s="34">
        <f t="shared" ref="F78" si="81">F74+F69</f>
        <v>2827.289613848202</v>
      </c>
      <c r="G78" s="34">
        <f t="shared" si="80"/>
        <v>3211.984247584739</v>
      </c>
      <c r="H78" s="33">
        <f t="shared" si="80"/>
        <v>3649.9688861232112</v>
      </c>
      <c r="I78" s="33">
        <f t="shared" si="80"/>
        <v>5157.3695995785038</v>
      </c>
      <c r="J78" s="33">
        <f>J74+J69</f>
        <v>4444.9041679342872</v>
      </c>
      <c r="K78" s="33">
        <f t="shared" si="80"/>
        <v>3482.882434498204</v>
      </c>
      <c r="L78" s="33">
        <f t="shared" si="80"/>
        <v>3111.4928508411458</v>
      </c>
      <c r="M78" s="33">
        <f t="shared" ref="M78:O78" si="82">M74+M69</f>
        <v>3223.4499693063226</v>
      </c>
      <c r="N78" s="33">
        <f t="shared" si="82"/>
        <v>3244.6875</v>
      </c>
      <c r="O78" s="33">
        <f t="shared" si="82"/>
        <v>2976.231108924062</v>
      </c>
      <c r="P78" s="33">
        <f t="shared" ref="P78:Q78" si="83">P74+P69</f>
        <v>3016.0878470224188</v>
      </c>
      <c r="Q78" s="33">
        <f t="shared" si="83"/>
        <v>3101.0071184061408</v>
      </c>
      <c r="R78" s="33">
        <f t="shared" ref="R78:S78" si="84">R74+R69</f>
        <v>3183.8560149622158</v>
      </c>
      <c r="S78" s="33">
        <f t="shared" ref="S78" si="85">S74+S69</f>
        <v>3224.1967026106131</v>
      </c>
    </row>
    <row r="79" spans="1:21" s="10" customFormat="1" ht="12.75" thickTop="1">
      <c r="A79" s="21" t="s">
        <v>31</v>
      </c>
      <c r="B79" s="19">
        <f t="shared" ref="B79:L79" si="86">B80+B81+B82</f>
        <v>0</v>
      </c>
      <c r="C79" s="18">
        <f t="shared" si="86"/>
        <v>0</v>
      </c>
      <c r="D79" s="18">
        <f t="shared" si="86"/>
        <v>0</v>
      </c>
      <c r="E79" s="18">
        <f t="shared" si="86"/>
        <v>0</v>
      </c>
      <c r="F79" s="17">
        <f t="shared" ref="F79" si="87">F80+F81+F82</f>
        <v>592.82703062583221</v>
      </c>
      <c r="G79" s="17">
        <f t="shared" si="86"/>
        <v>628.87705911249373</v>
      </c>
      <c r="H79" s="16">
        <f t="shared" si="86"/>
        <v>823.58431860609824</v>
      </c>
      <c r="I79" s="16">
        <f t="shared" si="86"/>
        <v>1084.1016859852477</v>
      </c>
      <c r="J79" s="16">
        <f t="shared" si="86"/>
        <v>1141.0100395497416</v>
      </c>
      <c r="K79" s="16">
        <f t="shared" si="86"/>
        <v>1139.0735539834334</v>
      </c>
      <c r="L79" s="16">
        <f t="shared" si="86"/>
        <v>450.1342568263799</v>
      </c>
      <c r="M79" s="16">
        <f t="shared" ref="M79:O79" si="88">M80+M81+M82</f>
        <v>875.89799744495872</v>
      </c>
      <c r="N79" s="16">
        <f t="shared" si="88"/>
        <v>592.86458333333326</v>
      </c>
      <c r="O79" s="16">
        <f t="shared" si="88"/>
        <v>0</v>
      </c>
      <c r="P79" s="16">
        <f t="shared" ref="P79:Q79" si="89">P80+P81+P82</f>
        <v>0</v>
      </c>
      <c r="Q79" s="16">
        <f t="shared" si="89"/>
        <v>0</v>
      </c>
      <c r="R79" s="16">
        <f t="shared" ref="R79:S79" si="90">R80+R81+R82</f>
        <v>0</v>
      </c>
      <c r="S79" s="16">
        <f t="shared" ref="S79" si="91">S80+S81+S82</f>
        <v>0</v>
      </c>
      <c r="U79" s="3"/>
    </row>
    <row r="80" spans="1:21">
      <c r="A80" s="41" t="s">
        <v>30</v>
      </c>
      <c r="B80" s="40"/>
      <c r="C80" s="37"/>
      <c r="D80" s="37"/>
      <c r="E80" s="37"/>
      <c r="F80" s="37">
        <v>43.859986684420775</v>
      </c>
      <c r="G80" s="39">
        <v>142.33256918290488</v>
      </c>
      <c r="H80" s="38">
        <v>237.92781580584941</v>
      </c>
      <c r="I80" s="37">
        <v>260.24104320337199</v>
      </c>
      <c r="J80" s="37">
        <v>151.29297231518103</v>
      </c>
      <c r="K80" s="37">
        <v>114.81033808525009</v>
      </c>
      <c r="L80" s="37">
        <v>115.73391216296872</v>
      </c>
      <c r="M80" s="37">
        <v>104.55759627030345</v>
      </c>
      <c r="N80" s="37">
        <v>98.871527777777771</v>
      </c>
      <c r="O80" s="37">
        <f t="shared" ref="N80:Q80" si="92">IF(O96&gt;0,0,-O96)</f>
        <v>0</v>
      </c>
      <c r="P80" s="37">
        <f t="shared" si="92"/>
        <v>0</v>
      </c>
      <c r="Q80" s="37">
        <f t="shared" si="92"/>
        <v>0</v>
      </c>
      <c r="R80" s="37">
        <f t="shared" ref="R80:S80" si="93">IF(R96&gt;0,0,-R96)</f>
        <v>0</v>
      </c>
      <c r="S80" s="37">
        <f t="shared" ref="S80" si="94">IF(S96&gt;0,0,-S96)</f>
        <v>0</v>
      </c>
    </row>
    <row r="81" spans="1:21">
      <c r="A81" s="41" t="s">
        <v>29</v>
      </c>
      <c r="B81" s="40"/>
      <c r="C81" s="37"/>
      <c r="D81" s="37"/>
      <c r="E81" s="37"/>
      <c r="F81" s="37">
        <v>445.33455392809589</v>
      </c>
      <c r="G81" s="39">
        <v>430.14164074013428</v>
      </c>
      <c r="H81" s="38">
        <v>499.4399502177971</v>
      </c>
      <c r="I81" s="37">
        <v>769.98814541622767</v>
      </c>
      <c r="J81" s="37">
        <v>841.64891998783094</v>
      </c>
      <c r="K81" s="37">
        <v>947.58078851007849</v>
      </c>
      <c r="L81" s="37">
        <v>207.6350080334565</v>
      </c>
      <c r="M81" s="37">
        <v>662.31977834187774</v>
      </c>
      <c r="N81" s="37">
        <v>328.64583333333331</v>
      </c>
      <c r="O81" s="37">
        <v>0</v>
      </c>
      <c r="P81" s="37">
        <v>0</v>
      </c>
      <c r="Q81" s="37">
        <v>0</v>
      </c>
      <c r="R81" s="37">
        <v>0</v>
      </c>
      <c r="S81" s="37">
        <v>0</v>
      </c>
    </row>
    <row r="82" spans="1:21">
      <c r="A82" s="41" t="s">
        <v>28</v>
      </c>
      <c r="B82" s="40"/>
      <c r="C82" s="37"/>
      <c r="D82" s="37"/>
      <c r="E82" s="37"/>
      <c r="F82" s="37">
        <v>103.63249001331558</v>
      </c>
      <c r="G82" s="39">
        <v>56.402849189454678</v>
      </c>
      <c r="H82" s="38">
        <v>86.216552582451769</v>
      </c>
      <c r="I82" s="37">
        <v>53.872497365648051</v>
      </c>
      <c r="J82" s="37">
        <v>148.06814724672955</v>
      </c>
      <c r="K82" s="37">
        <v>76.682427388104799</v>
      </c>
      <c r="L82" s="37">
        <v>126.7653366299547</v>
      </c>
      <c r="M82" s="37">
        <v>109.02062283277752</v>
      </c>
      <c r="N82" s="37">
        <v>165.34722222222223</v>
      </c>
      <c r="O82" s="37">
        <v>0</v>
      </c>
      <c r="P82" s="37">
        <v>0</v>
      </c>
      <c r="Q82" s="37">
        <v>0</v>
      </c>
      <c r="R82" s="37">
        <v>0</v>
      </c>
      <c r="S82" s="37">
        <v>0</v>
      </c>
    </row>
    <row r="83" spans="1:21" s="10" customFormat="1">
      <c r="A83" s="21" t="s">
        <v>27</v>
      </c>
      <c r="B83" s="19">
        <f t="shared" ref="B83:L83" si="95">SUM(B84:B85)</f>
        <v>0</v>
      </c>
      <c r="C83" s="18">
        <f t="shared" si="95"/>
        <v>0</v>
      </c>
      <c r="D83" s="18">
        <f t="shared" si="95"/>
        <v>0</v>
      </c>
      <c r="E83" s="18">
        <f t="shared" si="95"/>
        <v>0</v>
      </c>
      <c r="F83" s="17">
        <f t="shared" si="95"/>
        <v>823.25239680426102</v>
      </c>
      <c r="G83" s="17">
        <f t="shared" si="95"/>
        <v>941.66255117078765</v>
      </c>
      <c r="H83" s="16">
        <f t="shared" si="95"/>
        <v>1175.8556316116988</v>
      </c>
      <c r="I83" s="16">
        <f t="shared" si="95"/>
        <v>1467.8938356164383</v>
      </c>
      <c r="J83" s="16">
        <f t="shared" si="95"/>
        <v>885.97505324003657</v>
      </c>
      <c r="K83" s="16">
        <f t="shared" si="95"/>
        <v>676.97038643392932</v>
      </c>
      <c r="L83" s="16">
        <f t="shared" si="95"/>
        <v>1154.8556790568955</v>
      </c>
      <c r="M83" s="16">
        <f t="shared" ref="M83:O83" si="96">SUM(M84:M85)</f>
        <v>892.1407595440744</v>
      </c>
      <c r="N83" s="16">
        <f t="shared" si="96"/>
        <v>1072.7256944444443</v>
      </c>
      <c r="O83" s="16">
        <f t="shared" si="96"/>
        <v>1384.3050408257254</v>
      </c>
      <c r="P83" s="16">
        <f t="shared" ref="P83:Q83" si="97">SUM(P84:P85)</f>
        <v>1366.3284984177919</v>
      </c>
      <c r="Q83" s="16">
        <f t="shared" si="97"/>
        <v>1349.0035325445972</v>
      </c>
      <c r="R83" s="16">
        <f t="shared" ref="R83:S83" si="98">SUM(R84:R85)</f>
        <v>1333.5950189636783</v>
      </c>
      <c r="S83" s="16">
        <f t="shared" ref="S83" si="99">SUM(S84:S85)</f>
        <v>1319.2072191883931</v>
      </c>
      <c r="U83" s="3"/>
    </row>
    <row r="84" spans="1:21">
      <c r="A84" s="41" t="s">
        <v>26</v>
      </c>
      <c r="B84" s="40"/>
      <c r="C84" s="37"/>
      <c r="D84" s="37"/>
      <c r="E84" s="37"/>
      <c r="F84" s="37">
        <v>659.52123834886822</v>
      </c>
      <c r="G84" s="39">
        <v>744.03625347961361</v>
      </c>
      <c r="H84" s="38">
        <v>1007.809583074051</v>
      </c>
      <c r="I84" s="37">
        <v>1257.1127502634351</v>
      </c>
      <c r="J84" s="37">
        <v>691.20778825676916</v>
      </c>
      <c r="K84" s="37">
        <v>497.7425432827331</v>
      </c>
      <c r="L84" s="37">
        <v>941.38938321439798</v>
      </c>
      <c r="M84" s="37">
        <v>650.88845751829172</v>
      </c>
      <c r="N84" s="37">
        <v>965.15625</v>
      </c>
      <c r="O84" s="37">
        <f>model!K122</f>
        <v>1279.6233552199647</v>
      </c>
      <c r="P84" s="37">
        <f>model!L122</f>
        <v>1264.647857036493</v>
      </c>
      <c r="Q84" s="37">
        <f>model!M122</f>
        <v>1250.1736803448339</v>
      </c>
      <c r="R84" s="37">
        <f>model!N122</f>
        <v>1237.2649574229765</v>
      </c>
      <c r="S84" s="37">
        <f>model!O122</f>
        <v>1225.1817045745024</v>
      </c>
    </row>
    <row r="85" spans="1:21">
      <c r="A85" s="41" t="s">
        <v>25</v>
      </c>
      <c r="B85" s="40"/>
      <c r="C85" s="37"/>
      <c r="D85" s="37"/>
      <c r="E85" s="37"/>
      <c r="F85" s="37">
        <v>163.73115845539283</v>
      </c>
      <c r="G85" s="39">
        <v>197.62629769117407</v>
      </c>
      <c r="H85" s="38">
        <v>168.04604853764778</v>
      </c>
      <c r="I85" s="37">
        <v>210.78108535300316</v>
      </c>
      <c r="J85" s="37">
        <v>194.76726498326744</v>
      </c>
      <c r="K85" s="37">
        <v>179.22784315119625</v>
      </c>
      <c r="L85" s="37">
        <v>213.4662958424976</v>
      </c>
      <c r="M85" s="37">
        <v>241.25230202578268</v>
      </c>
      <c r="N85" s="37">
        <v>107.56944444444444</v>
      </c>
      <c r="O85" s="37">
        <f>N85*model!J8/model!K8</f>
        <v>104.68168560576088</v>
      </c>
      <c r="P85" s="37">
        <f>O85*model!K8/model!L8</f>
        <v>101.68064138129901</v>
      </c>
      <c r="Q85" s="37">
        <f>P85*model!L8/model!M8</f>
        <v>98.829852199763266</v>
      </c>
      <c r="R85" s="37">
        <f>Q85*model!M8/model!N8</f>
        <v>96.330061540701777</v>
      </c>
      <c r="S85" s="37">
        <f>R85*model!N8/model!O8</f>
        <v>94.025514613890735</v>
      </c>
    </row>
    <row r="86" spans="1:21">
      <c r="A86" s="21" t="s">
        <v>24</v>
      </c>
      <c r="B86" s="19">
        <f t="shared" ref="B86:L86" si="100">B83+B79</f>
        <v>0</v>
      </c>
      <c r="C86" s="18">
        <f t="shared" si="100"/>
        <v>0</v>
      </c>
      <c r="D86" s="18">
        <f t="shared" si="100"/>
        <v>0</v>
      </c>
      <c r="E86" s="18">
        <f t="shared" si="100"/>
        <v>0</v>
      </c>
      <c r="F86" s="17">
        <f t="shared" si="100"/>
        <v>1416.0794274300933</v>
      </c>
      <c r="G86" s="17">
        <f t="shared" si="100"/>
        <v>1570.5396102832815</v>
      </c>
      <c r="H86" s="16">
        <f t="shared" si="100"/>
        <v>1999.4399502177971</v>
      </c>
      <c r="I86" s="16">
        <f t="shared" si="100"/>
        <v>2551.9955216016861</v>
      </c>
      <c r="J86" s="16">
        <f t="shared" si="100"/>
        <v>2026.9850927897783</v>
      </c>
      <c r="K86" s="16">
        <f t="shared" si="100"/>
        <v>1816.0439404173626</v>
      </c>
      <c r="L86" s="16">
        <f t="shared" si="100"/>
        <v>1604.9899358832754</v>
      </c>
      <c r="M86" s="16">
        <f t="shared" ref="M86:O86" si="101">M83+M79</f>
        <v>1768.0387569890331</v>
      </c>
      <c r="N86" s="16">
        <f t="shared" si="101"/>
        <v>1665.5902777777776</v>
      </c>
      <c r="O86" s="16">
        <f t="shared" si="101"/>
        <v>1384.3050408257254</v>
      </c>
      <c r="P86" s="16">
        <f t="shared" ref="P86:Q86" si="102">P83+P79</f>
        <v>1366.3284984177919</v>
      </c>
      <c r="Q86" s="16">
        <f t="shared" si="102"/>
        <v>1349.0035325445972</v>
      </c>
      <c r="R86" s="16">
        <f t="shared" ref="R86:S86" si="103">R83+R79</f>
        <v>1333.5950189636783</v>
      </c>
      <c r="S86" s="16">
        <f t="shared" ref="S86" si="104">S83+S79</f>
        <v>1319.2072191883931</v>
      </c>
    </row>
    <row r="87" spans="1:21">
      <c r="A87" s="21" t="s">
        <v>23</v>
      </c>
      <c r="B87" s="15"/>
      <c r="C87" s="12"/>
      <c r="D87" s="12"/>
      <c r="E87" s="12"/>
      <c r="F87" s="12">
        <v>128.75862183754995</v>
      </c>
      <c r="G87" s="14">
        <v>160</v>
      </c>
      <c r="H87" s="13">
        <v>86.527691350342252</v>
      </c>
      <c r="I87" s="12">
        <v>516.9257112750264</v>
      </c>
      <c r="J87" s="12">
        <v>402.52509887435355</v>
      </c>
      <c r="K87" s="12">
        <v>413.47008425468374</v>
      </c>
      <c r="L87" s="12">
        <v>340.43744263041845</v>
      </c>
      <c r="M87" s="12">
        <v>341.21414231911467</v>
      </c>
      <c r="N87" s="12">
        <v>358.61111111111109</v>
      </c>
      <c r="O87" s="12">
        <f>N87*model!J8/model!K8</f>
        <v>348.98400546684906</v>
      </c>
      <c r="P87" s="12">
        <f>O87*model!K8/model!L8</f>
        <v>338.97923311363985</v>
      </c>
      <c r="Q87" s="12">
        <f>P87*model!L8/model!M8</f>
        <v>329.47537557106358</v>
      </c>
      <c r="R87" s="12">
        <f>Q87*model!M8/model!N8</f>
        <v>321.141664167969</v>
      </c>
      <c r="S87" s="12">
        <f>R87*model!N8/model!O8</f>
        <v>313.45884923572095</v>
      </c>
    </row>
    <row r="88" spans="1:21">
      <c r="A88" s="21" t="s">
        <v>22</v>
      </c>
      <c r="B88" s="15"/>
      <c r="C88" s="12"/>
      <c r="D88" s="12"/>
      <c r="E88" s="12"/>
      <c r="F88" s="12">
        <v>1282.4515645805586</v>
      </c>
      <c r="G88" s="14">
        <v>1481.17</v>
      </c>
      <c r="H88" s="13">
        <v>1564.0012445550715</v>
      </c>
      <c r="I88" s="12">
        <v>2088.4483667017917</v>
      </c>
      <c r="J88" s="12">
        <v>2015.3939762701552</v>
      </c>
      <c r="K88" s="12">
        <v>1253.3684098261581</v>
      </c>
      <c r="L88" s="12">
        <v>1166.0654723274522</v>
      </c>
      <c r="M88" s="12">
        <v>1114.1970699981748</v>
      </c>
      <c r="N88" s="12">
        <v>1220.4861111111111</v>
      </c>
      <c r="O88" s="12">
        <f>(N88*model!J8+model!K137*model!K7+model!J167*model!K7)/model!K8</f>
        <v>1242.9420626314877</v>
      </c>
      <c r="P88" s="12">
        <f>(O88*model!K8+model!L137*model!L7+model!K167*model!L7)/model!L8</f>
        <v>1310.7801154909869</v>
      </c>
      <c r="Q88" s="12">
        <f>(P88*model!L8+model!M137*model!M7+model!L167*model!M7)/model!M8</f>
        <v>1422.52821029048</v>
      </c>
      <c r="R88" s="12">
        <f>(Q88*model!M8+model!N137*model!N7+model!M167*model!N7)/model!N8</f>
        <v>1529.1193318305679</v>
      </c>
      <c r="S88" s="12">
        <f>(R88*model!N8+model!O137*model!O7+model!N167*model!O7)/model!O8</f>
        <v>1591.5306341864989</v>
      </c>
    </row>
    <row r="89" spans="1:21" ht="12.75" thickBot="1">
      <c r="A89" s="36" t="s">
        <v>21</v>
      </c>
      <c r="B89" s="35">
        <f t="shared" ref="B89:G89" si="105">B86+B88+B87</f>
        <v>0</v>
      </c>
      <c r="C89" s="33">
        <f t="shared" si="105"/>
        <v>0</v>
      </c>
      <c r="D89" s="33">
        <f t="shared" si="105"/>
        <v>0</v>
      </c>
      <c r="E89" s="33">
        <f t="shared" si="105"/>
        <v>0</v>
      </c>
      <c r="F89" s="34">
        <f t="shared" si="105"/>
        <v>2827.289613848202</v>
      </c>
      <c r="G89" s="34">
        <f t="shared" si="105"/>
        <v>3211.7096102832816</v>
      </c>
      <c r="H89" s="33">
        <f t="shared" ref="H89:L89" si="106">H86+H88+H87</f>
        <v>3649.9688861232107</v>
      </c>
      <c r="I89" s="33">
        <f t="shared" si="106"/>
        <v>5157.3695995785047</v>
      </c>
      <c r="J89" s="33">
        <f t="shared" si="106"/>
        <v>4444.9041679342872</v>
      </c>
      <c r="K89" s="33">
        <f t="shared" si="106"/>
        <v>3482.882434498204</v>
      </c>
      <c r="L89" s="33">
        <f t="shared" si="106"/>
        <v>3111.4928508411458</v>
      </c>
      <c r="M89" s="33">
        <f t="shared" ref="M89:O89" si="107">M86+M88+M87</f>
        <v>3223.4499693063226</v>
      </c>
      <c r="N89" s="33">
        <f t="shared" si="107"/>
        <v>3244.6875</v>
      </c>
      <c r="O89" s="33">
        <f t="shared" si="107"/>
        <v>2976.231108924062</v>
      </c>
      <c r="P89" s="33">
        <f t="shared" ref="P89:Q89" si="108">P86+P88+P87</f>
        <v>3016.0878470224188</v>
      </c>
      <c r="Q89" s="33">
        <f t="shared" si="108"/>
        <v>3101.0071184061408</v>
      </c>
      <c r="R89" s="33">
        <f t="shared" ref="R89:S89" si="109">R86+R88+R87</f>
        <v>3183.8560149622153</v>
      </c>
      <c r="S89" s="33">
        <f t="shared" ref="S89" si="110">S86+S88+S87</f>
        <v>3224.1967026106131</v>
      </c>
    </row>
    <row r="90" spans="1:21" ht="12.75" thickTop="1">
      <c r="A90" s="5"/>
      <c r="B90" s="29"/>
      <c r="C90" s="28"/>
      <c r="D90" s="28"/>
      <c r="E90" s="32"/>
      <c r="F90" s="32"/>
      <c r="G90" s="31"/>
      <c r="H90" s="30"/>
      <c r="I90" s="30"/>
      <c r="J90" s="270"/>
      <c r="K90" s="30"/>
      <c r="L90" s="30"/>
      <c r="M90" s="30">
        <f>M78-M89</f>
        <v>0</v>
      </c>
      <c r="N90" s="30">
        <f>N78-N89</f>
        <v>0</v>
      </c>
      <c r="O90" s="30">
        <f t="shared" ref="O90:Q90" si="111">O78-O89</f>
        <v>0</v>
      </c>
      <c r="P90" s="30">
        <f t="shared" si="111"/>
        <v>0</v>
      </c>
      <c r="Q90" s="30">
        <f t="shared" si="111"/>
        <v>0</v>
      </c>
      <c r="R90" s="30">
        <f t="shared" ref="R90:S90" si="112">R78-R89</f>
        <v>0</v>
      </c>
      <c r="S90" s="30">
        <f t="shared" ref="S90" si="113">S78-S89</f>
        <v>0</v>
      </c>
    </row>
    <row r="91" spans="1:21">
      <c r="A91" s="21" t="s">
        <v>20</v>
      </c>
      <c r="B91" s="29">
        <f t="shared" ref="B91:G91" si="114">B84+B81</f>
        <v>0</v>
      </c>
      <c r="C91" s="28">
        <f t="shared" si="114"/>
        <v>0</v>
      </c>
      <c r="D91" s="28">
        <f t="shared" si="114"/>
        <v>0</v>
      </c>
      <c r="E91" s="28">
        <f t="shared" si="114"/>
        <v>0</v>
      </c>
      <c r="F91" s="27">
        <f t="shared" si="114"/>
        <v>1104.8557922769642</v>
      </c>
      <c r="G91" s="27">
        <f t="shared" si="114"/>
        <v>1174.1778942197479</v>
      </c>
      <c r="H91" s="27">
        <f t="shared" ref="H91:M91" si="115">H84+H81</f>
        <v>1507.2495332918481</v>
      </c>
      <c r="I91" s="27">
        <f t="shared" si="115"/>
        <v>2027.1008956796627</v>
      </c>
      <c r="J91" s="27">
        <f t="shared" si="115"/>
        <v>1532.8567082446002</v>
      </c>
      <c r="K91" s="27">
        <f t="shared" si="115"/>
        <v>1445.3233317928116</v>
      </c>
      <c r="L91" s="27">
        <f t="shared" si="115"/>
        <v>1149.0243912478545</v>
      </c>
      <c r="M91" s="27">
        <f t="shared" si="115"/>
        <v>1313.2082358601695</v>
      </c>
      <c r="N91" s="27">
        <f t="shared" ref="N91:R91" si="116">N84+N81</f>
        <v>1293.8020833333333</v>
      </c>
      <c r="O91" s="27">
        <f t="shared" si="116"/>
        <v>1279.6233552199647</v>
      </c>
      <c r="P91" s="27">
        <f t="shared" si="116"/>
        <v>1264.647857036493</v>
      </c>
      <c r="Q91" s="27">
        <f t="shared" si="116"/>
        <v>1250.1736803448339</v>
      </c>
      <c r="R91" s="27">
        <f t="shared" si="116"/>
        <v>1237.2649574229765</v>
      </c>
      <c r="S91" s="27">
        <f t="shared" ref="S91" si="117">S84+S81</f>
        <v>1225.1817045745024</v>
      </c>
    </row>
    <row r="92" spans="1:21" s="10" customFormat="1">
      <c r="A92" s="25" t="s">
        <v>19</v>
      </c>
      <c r="B92" s="24">
        <f>B91-B70</f>
        <v>0</v>
      </c>
      <c r="C92" s="22">
        <f>C91-C70</f>
        <v>0</v>
      </c>
      <c r="D92" s="22">
        <f>D91-D70</f>
        <v>0</v>
      </c>
      <c r="E92" s="22">
        <f>E91-E70</f>
        <v>0</v>
      </c>
      <c r="F92" s="22">
        <f>F81+F84-F70-F76</f>
        <v>162.74337549933432</v>
      </c>
      <c r="G92" s="22">
        <f>G81+G84-G70-G76</f>
        <v>102.55490420828573</v>
      </c>
      <c r="H92" s="22">
        <f t="shared" ref="H92" si="118">H81+H84-H70-H76</f>
        <v>466.2103298070939</v>
      </c>
      <c r="I92" s="22">
        <f>I81+I84-I70-I76</f>
        <v>310.35958904109577</v>
      </c>
      <c r="J92" s="22">
        <f>J81+J84-J70-J76</f>
        <v>522.84758138119889</v>
      </c>
      <c r="K92" s="22">
        <f t="shared" ref="K92:M92" si="119">K81+K84-K70-K76</f>
        <v>496.94265704433144</v>
      </c>
      <c r="L92" s="22">
        <f t="shared" si="119"/>
        <v>232.31850631219766</v>
      </c>
      <c r="M92" s="22">
        <f t="shared" si="119"/>
        <v>564.39865279644278</v>
      </c>
      <c r="N92" s="22">
        <f>N81+N84-N70-N76</f>
        <v>651.44097222222217</v>
      </c>
      <c r="O92" s="22">
        <f t="shared" ref="O92:R92" si="120">O81+O84-O70-O76</f>
        <v>744.57444806213448</v>
      </c>
      <c r="P92" s="22">
        <f t="shared" si="120"/>
        <v>762.23636254844678</v>
      </c>
      <c r="Q92" s="22">
        <f t="shared" si="120"/>
        <v>665.09811935372022</v>
      </c>
      <c r="R92" s="22">
        <f t="shared" si="120"/>
        <v>395.41323644486272</v>
      </c>
      <c r="S92" s="22">
        <f t="shared" ref="S92" si="121">S81+S84-S70-S76</f>
        <v>160.9646943669959</v>
      </c>
    </row>
    <row r="93" spans="1:21" s="10" customFormat="1">
      <c r="A93" s="21"/>
      <c r="B93" s="19"/>
      <c r="C93" s="18"/>
      <c r="D93" s="18"/>
      <c r="E93" s="18"/>
      <c r="F93" s="17"/>
      <c r="G93" s="17"/>
      <c r="H93" s="16"/>
      <c r="I93" s="16"/>
    </row>
    <row r="94" spans="1:21" s="10" customFormat="1" ht="15">
      <c r="A94" s="20" t="s">
        <v>18</v>
      </c>
      <c r="B94" s="15">
        <f t="shared" ref="B94:G94" si="122">B76</f>
        <v>0</v>
      </c>
      <c r="C94" s="12">
        <f t="shared" si="122"/>
        <v>0</v>
      </c>
      <c r="D94" s="12">
        <f t="shared" si="122"/>
        <v>0</v>
      </c>
      <c r="E94" s="12">
        <f t="shared" si="122"/>
        <v>0</v>
      </c>
      <c r="F94" s="14">
        <f t="shared" si="122"/>
        <v>685.58282290279624</v>
      </c>
      <c r="G94" s="14">
        <f t="shared" si="122"/>
        <v>799.02829539872278</v>
      </c>
      <c r="H94" s="14">
        <f t="shared" ref="H94:R94" si="123">H76</f>
        <v>620.72184194150589</v>
      </c>
      <c r="I94" s="14">
        <f t="shared" si="123"/>
        <v>158.85142255005269</v>
      </c>
      <c r="J94" s="14">
        <f t="shared" si="123"/>
        <v>597.65743839367212</v>
      </c>
      <c r="K94" s="14">
        <f t="shared" si="123"/>
        <v>508.03441288350098</v>
      </c>
      <c r="L94" s="14">
        <f t="shared" si="123"/>
        <v>499.30916390309358</v>
      </c>
      <c r="M94" s="14">
        <f t="shared" si="123"/>
        <v>298.06049143065718</v>
      </c>
      <c r="N94" s="14">
        <f t="shared" si="123"/>
        <v>394.0625</v>
      </c>
      <c r="O94" s="14">
        <f t="shared" si="123"/>
        <v>329.77025104428861</v>
      </c>
      <c r="P94" s="14">
        <f t="shared" si="123"/>
        <v>320.31630404707545</v>
      </c>
      <c r="Q94" s="14">
        <f t="shared" si="123"/>
        <v>311.33569336403878</v>
      </c>
      <c r="R94" s="14">
        <f t="shared" si="123"/>
        <v>303.46080494944567</v>
      </c>
      <c r="S94" s="14">
        <f t="shared" ref="S94" si="124">S76</f>
        <v>296.20097707984178</v>
      </c>
    </row>
    <row r="95" spans="1:21" s="10" customFormat="1" ht="15">
      <c r="A95" s="20"/>
      <c r="B95" s="19"/>
      <c r="C95" s="18"/>
      <c r="D95" s="18"/>
      <c r="E95" s="18"/>
      <c r="F95" s="18"/>
      <c r="G95" s="17"/>
      <c r="H95" s="16"/>
      <c r="I95" s="16"/>
      <c r="J95" s="16"/>
      <c r="K95" s="16"/>
      <c r="L95" s="16"/>
      <c r="M95" s="16"/>
      <c r="N95" s="16"/>
      <c r="O95" s="16"/>
      <c r="P95" s="16"/>
      <c r="Q95" s="16"/>
      <c r="R95" s="16"/>
      <c r="S95" s="16"/>
    </row>
    <row r="96" spans="1:21" s="10" customFormat="1" ht="15">
      <c r="A96" s="20" t="s">
        <v>17</v>
      </c>
      <c r="B96" s="19">
        <f>B69-B70-(B79-B81)</f>
        <v>0</v>
      </c>
      <c r="C96" s="18">
        <f>C69-C70-(C79-C81)</f>
        <v>0</v>
      </c>
      <c r="D96" s="18">
        <f>D69-D70-(D79-D81)</f>
        <v>0</v>
      </c>
      <c r="E96" s="18">
        <f>E69-E70-(E79-E81)</f>
        <v>0</v>
      </c>
      <c r="F96" s="16">
        <f>F71+F72+F73-F80-F82</f>
        <v>223.54044607190406</v>
      </c>
      <c r="G96" s="16">
        <f>G71+G72+G73-G80-G82</f>
        <v>270.2761093826756</v>
      </c>
      <c r="H96" s="16">
        <f t="shared" ref="H96:N96" si="125">H71+H72+H73-H80-H82</f>
        <v>380.49159925326694</v>
      </c>
      <c r="I96" s="16">
        <f t="shared" si="125"/>
        <v>565.43071654373023</v>
      </c>
      <c r="J96" s="16">
        <f t="shared" si="125"/>
        <v>264.52692424703383</v>
      </c>
      <c r="K96" s="16">
        <f t="shared" si="125"/>
        <v>270.25489708130397</v>
      </c>
      <c r="L96" s="16">
        <f t="shared" si="125"/>
        <v>163.56419287430347</v>
      </c>
      <c r="M96" s="16">
        <f t="shared" si="125"/>
        <v>182.53612728750846</v>
      </c>
      <c r="N96" s="16">
        <f t="shared" si="125"/>
        <v>183.64583333333331</v>
      </c>
      <c r="O96" s="16">
        <f>model!K161</f>
        <v>164.3628592875335</v>
      </c>
      <c r="P96" s="16">
        <f>model!L161</f>
        <v>142.30376028975201</v>
      </c>
      <c r="Q96" s="16">
        <f>model!M161</f>
        <v>118.16208472044309</v>
      </c>
      <c r="R96" s="16">
        <f>model!N161</f>
        <v>89.567621986441964</v>
      </c>
      <c r="S96" s="16">
        <f>model!O161</f>
        <v>60.177894084707646</v>
      </c>
    </row>
    <row r="97" spans="1:19" s="10" customFormat="1" ht="15">
      <c r="A97" s="20" t="s">
        <v>213</v>
      </c>
      <c r="B97" s="19"/>
      <c r="C97" s="18"/>
      <c r="D97" s="18"/>
      <c r="E97" s="18"/>
      <c r="F97" s="16">
        <v>-75.522425196850378</v>
      </c>
      <c r="G97" s="16">
        <f>model!C160</f>
        <v>-78.985507246376812</v>
      </c>
      <c r="H97" s="16">
        <f>model!D160</f>
        <v>-111.73469387755102</v>
      </c>
      <c r="I97" s="16">
        <f>model!E160</f>
        <v>-81.125454721050772</v>
      </c>
      <c r="J97" s="16">
        <f>model!F160</f>
        <v>136.07833291488828</v>
      </c>
      <c r="K97" s="16">
        <f>model!G160</f>
        <v>-105.82448873932177</v>
      </c>
      <c r="L97" s="16">
        <f>model!H160</f>
        <v>47.851498726572189</v>
      </c>
      <c r="M97" s="16">
        <f>model!I160</f>
        <v>16.70566895455207</v>
      </c>
      <c r="N97" s="16">
        <f>model!J160</f>
        <v>-68.979460157006116</v>
      </c>
      <c r="O97" s="16">
        <f>model!K160</f>
        <v>0</v>
      </c>
      <c r="P97" s="16">
        <f>model!L160</f>
        <v>0</v>
      </c>
      <c r="Q97" s="16">
        <f>model!M160</f>
        <v>0</v>
      </c>
      <c r="R97" s="16">
        <f>model!N160</f>
        <v>0</v>
      </c>
      <c r="S97" s="16">
        <f>model!O160</f>
        <v>0</v>
      </c>
    </row>
    <row r="98" spans="1:19" s="10" customFormat="1">
      <c r="A98" s="5" t="s">
        <v>16</v>
      </c>
      <c r="B98" s="19">
        <f>B74+B96</f>
        <v>0</v>
      </c>
      <c r="C98" s="18">
        <f>C74+C96</f>
        <v>0</v>
      </c>
      <c r="D98" s="18">
        <f>D74+D96</f>
        <v>0</v>
      </c>
      <c r="E98" s="18">
        <f>E74+E96</f>
        <v>0</v>
      </c>
      <c r="F98" s="18">
        <f>F81+F84+F87+F88</f>
        <v>2516.0659786950728</v>
      </c>
      <c r="G98" s="18">
        <f>G81+G84+G87+G88</f>
        <v>2815.347894219748</v>
      </c>
      <c r="H98" s="18">
        <f t="shared" ref="H98:R98" si="126">H81+H84+H87+H88</f>
        <v>3157.778469197262</v>
      </c>
      <c r="I98" s="18">
        <f t="shared" si="126"/>
        <v>4632.4749736564809</v>
      </c>
      <c r="J98" s="18">
        <f t="shared" si="126"/>
        <v>3950.7757833891092</v>
      </c>
      <c r="K98" s="18">
        <f t="shared" si="126"/>
        <v>3112.1618258736535</v>
      </c>
      <c r="L98" s="18">
        <f t="shared" si="126"/>
        <v>2655.5273062057249</v>
      </c>
      <c r="M98" s="18">
        <f t="shared" si="126"/>
        <v>2768.6194481774592</v>
      </c>
      <c r="N98" s="18">
        <f t="shared" si="126"/>
        <v>2872.8993055555557</v>
      </c>
      <c r="O98" s="18">
        <f t="shared" si="126"/>
        <v>2871.5494233183017</v>
      </c>
      <c r="P98" s="18">
        <f t="shared" si="126"/>
        <v>2914.4072056411196</v>
      </c>
      <c r="Q98" s="18">
        <f t="shared" si="126"/>
        <v>3002.1772662063777</v>
      </c>
      <c r="R98" s="18">
        <f t="shared" si="126"/>
        <v>3087.5259534215138</v>
      </c>
      <c r="S98" s="18">
        <f t="shared" ref="S98" si="127">S81+S84+S87+S88</f>
        <v>3130.1711879967224</v>
      </c>
    </row>
    <row r="99" spans="1:19" s="10" customFormat="1">
      <c r="A99" s="3"/>
      <c r="B99" s="19"/>
      <c r="C99" s="18"/>
      <c r="D99" s="18"/>
      <c r="E99" s="18"/>
      <c r="F99" s="18"/>
      <c r="G99" s="17"/>
      <c r="H99" s="16"/>
      <c r="I99" s="16"/>
    </row>
    <row r="100" spans="1:19" s="10" customFormat="1">
      <c r="A100" s="10" t="s">
        <v>15</v>
      </c>
      <c r="B100" s="15"/>
      <c r="C100" s="12"/>
      <c r="D100" s="12"/>
      <c r="E100" s="12"/>
      <c r="F100" s="12"/>
      <c r="G100" s="14"/>
      <c r="H100" s="13"/>
      <c r="I100" s="12"/>
      <c r="J100" s="11"/>
      <c r="K100" s="11"/>
      <c r="L100" s="11"/>
      <c r="M100" s="11"/>
      <c r="N100" s="11"/>
      <c r="O100" s="11"/>
      <c r="P100" s="11"/>
      <c r="Q100" s="11"/>
      <c r="R100" s="11"/>
      <c r="S100" s="11"/>
    </row>
    <row r="101" spans="1:19" s="10" customFormat="1">
      <c r="A101" s="10" t="s">
        <v>14</v>
      </c>
      <c r="B101" s="19"/>
      <c r="C101" s="18"/>
      <c r="D101" s="18"/>
      <c r="E101" s="18"/>
      <c r="F101" s="18"/>
      <c r="G101" s="17"/>
      <c r="H101" s="16"/>
      <c r="I101" s="16"/>
    </row>
    <row r="102" spans="1:19" s="10" customFormat="1">
      <c r="A102" s="9" t="s">
        <v>13</v>
      </c>
      <c r="B102" s="15"/>
      <c r="C102" s="12"/>
      <c r="D102" s="12"/>
      <c r="E102" s="12"/>
      <c r="F102" s="12">
        <v>89.954897637795284</v>
      </c>
      <c r="G102" s="14"/>
      <c r="H102" s="14"/>
      <c r="I102" s="14"/>
      <c r="J102" s="14"/>
      <c r="K102" s="14"/>
      <c r="L102" s="14"/>
      <c r="M102" s="14"/>
      <c r="N102" s="14"/>
      <c r="O102" s="14"/>
      <c r="P102" s="14"/>
      <c r="Q102" s="14"/>
      <c r="R102" s="14"/>
      <c r="S102" s="14"/>
    </row>
    <row r="103" spans="1:19" s="10" customFormat="1">
      <c r="A103" s="9" t="s">
        <v>12</v>
      </c>
      <c r="B103" s="15"/>
      <c r="C103" s="12"/>
      <c r="D103" s="12"/>
      <c r="E103" s="12"/>
      <c r="F103" s="12">
        <v>-117.2208188976378</v>
      </c>
      <c r="G103" s="14"/>
      <c r="H103" s="14"/>
      <c r="I103" s="14"/>
      <c r="J103" s="14"/>
      <c r="K103" s="14"/>
      <c r="L103" s="14"/>
      <c r="M103" s="14"/>
      <c r="N103" s="14"/>
      <c r="O103" s="14"/>
      <c r="P103" s="14"/>
      <c r="Q103" s="14"/>
      <c r="R103" s="14"/>
      <c r="S103" s="14"/>
    </row>
    <row r="104" spans="1:19" s="10" customFormat="1">
      <c r="A104" s="9" t="s">
        <v>11</v>
      </c>
      <c r="B104" s="15"/>
      <c r="C104" s="12"/>
      <c r="D104" s="12"/>
      <c r="E104" s="12"/>
      <c r="F104" s="12">
        <v>40.420094488188973</v>
      </c>
      <c r="G104" s="14"/>
      <c r="H104" s="13">
        <f>G92-H92</f>
        <v>-363.65542559880816</v>
      </c>
      <c r="I104" s="13">
        <f t="shared" ref="I104:O104" si="128">H92-I92</f>
        <v>155.85074076599813</v>
      </c>
      <c r="J104" s="13">
        <f t="shared" si="128"/>
        <v>-212.48799234010312</v>
      </c>
      <c r="K104" s="13">
        <f t="shared" si="128"/>
        <v>25.904924336867452</v>
      </c>
      <c r="L104" s="13">
        <f t="shared" si="128"/>
        <v>264.62415073213378</v>
      </c>
      <c r="M104" s="13">
        <f t="shared" si="128"/>
        <v>-332.08014648424512</v>
      </c>
      <c r="N104" s="13">
        <f t="shared" si="128"/>
        <v>-87.042319425779397</v>
      </c>
      <c r="O104" s="13">
        <f t="shared" si="128"/>
        <v>-93.133475839912307</v>
      </c>
      <c r="P104" s="13">
        <f t="shared" ref="P104:S104" si="129">O92-P92</f>
        <v>-17.661914486312298</v>
      </c>
      <c r="Q104" s="13">
        <f t="shared" ref="Q104" si="130">P92-Q92</f>
        <v>97.138243194726556</v>
      </c>
      <c r="R104" s="13">
        <f t="shared" si="129"/>
        <v>269.6848829088575</v>
      </c>
      <c r="S104" s="13">
        <f t="shared" si="129"/>
        <v>234.44854207786682</v>
      </c>
    </row>
    <row r="105" spans="1:19">
      <c r="A105" s="9" t="s">
        <v>212</v>
      </c>
      <c r="B105" s="15"/>
      <c r="C105" s="12"/>
      <c r="D105" s="12"/>
      <c r="E105" s="12"/>
      <c r="F105" s="12">
        <v>-13.65288188976378</v>
      </c>
      <c r="G105" s="14">
        <v>-33.344664031620553</v>
      </c>
      <c r="H105" s="13">
        <f>-G34*G20</f>
        <v>-274.12259863945582</v>
      </c>
      <c r="I105" s="13">
        <f t="shared" ref="I105:O105" si="131">-H34*H20</f>
        <v>-70.618729678395525</v>
      </c>
      <c r="J105" s="13">
        <f t="shared" si="131"/>
        <v>-95.782274667336182</v>
      </c>
      <c r="K105" s="13">
        <f t="shared" si="131"/>
        <v>-159.4917939425317</v>
      </c>
      <c r="L105" s="13">
        <f t="shared" si="131"/>
        <v>-106.30615094339623</v>
      </c>
      <c r="M105" s="13">
        <f t="shared" si="131"/>
        <v>-119.11643701430157</v>
      </c>
      <c r="N105" s="13">
        <f t="shared" si="131"/>
        <v>-168.67708474576273</v>
      </c>
      <c r="O105" s="13">
        <f t="shared" si="131"/>
        <v>-235.16471286805032</v>
      </c>
      <c r="P105" s="13">
        <f t="shared" ref="P105:S105" si="132">-O34*O20</f>
        <v>-247.15990124640419</v>
      </c>
      <c r="Q105" s="13">
        <f t="shared" ref="Q105" si="133">-P34*P20</f>
        <v>-258.0319889380005</v>
      </c>
      <c r="R105" s="13">
        <f t="shared" si="132"/>
        <v>-374.07000695859909</v>
      </c>
      <c r="S105" s="13">
        <f t="shared" si="132"/>
        <v>-451.41115808416566</v>
      </c>
    </row>
    <row r="106" spans="1:19">
      <c r="A106" s="9" t="s">
        <v>215</v>
      </c>
      <c r="B106" s="40"/>
      <c r="C106" s="37"/>
      <c r="D106" s="37"/>
      <c r="E106" s="37"/>
      <c r="F106" s="37">
        <v>0</v>
      </c>
      <c r="G106" s="39">
        <v>0</v>
      </c>
      <c r="H106" s="38">
        <v>0</v>
      </c>
      <c r="I106" s="38">
        <v>0</v>
      </c>
      <c r="J106" s="38">
        <v>0</v>
      </c>
      <c r="K106" s="38">
        <v>0</v>
      </c>
      <c r="L106" s="38">
        <v>0</v>
      </c>
      <c r="M106" s="38">
        <v>-365</v>
      </c>
      <c r="N106" s="38">
        <v>-406</v>
      </c>
      <c r="O106" s="38">
        <v>-182</v>
      </c>
      <c r="P106" s="38">
        <v>-177</v>
      </c>
      <c r="Q106" s="38">
        <v>-32</v>
      </c>
      <c r="R106" s="38">
        <v>113</v>
      </c>
      <c r="S106" s="38">
        <v>114</v>
      </c>
    </row>
    <row r="107" spans="1:19">
      <c r="A107" s="9" t="s">
        <v>97</v>
      </c>
      <c r="B107" s="15"/>
      <c r="C107" s="12"/>
      <c r="D107" s="12"/>
      <c r="E107" s="12"/>
      <c r="F107" s="12">
        <v>6.052283464566929</v>
      </c>
      <c r="G107" s="12">
        <f>model!C118+model!C130+model!C131+model!C132</f>
        <v>2.9314888010540194</v>
      </c>
      <c r="H107" s="12">
        <f>model!D118+model!D130+model!D131+model!D132</f>
        <v>286.97278911564626</v>
      </c>
      <c r="I107" s="12">
        <f>model!E118+model!E130+model!E131+model!E132</f>
        <v>53.632939510028017</v>
      </c>
      <c r="J107" s="12">
        <f>model!F118+model!F130+model!F131+model!F132</f>
        <v>118.8802410243535</v>
      </c>
      <c r="K107" s="12">
        <f>model!G118+model!G130+model!G131+model!G132</f>
        <v>-191.8974889981879</v>
      </c>
      <c r="L107" s="12">
        <f>model!H118+model!H130+model!H131+model!H132</f>
        <v>-182.31241428851303</v>
      </c>
      <c r="M107" s="12">
        <f>model!I118+model!I130+model!I131</f>
        <v>92.261871438008754</v>
      </c>
      <c r="N107" s="12">
        <f>model!J118+model!J130+model!J131</f>
        <v>7.6223249811807712</v>
      </c>
      <c r="O107" s="12">
        <f>model!K118+model!K130+model!K131</f>
        <v>6.6165974712728843</v>
      </c>
      <c r="P107" s="12">
        <f>model!L118+model!L130+model!L131</f>
        <v>6.1379835698091831</v>
      </c>
      <c r="Q107" s="12">
        <f>model!M118+model!M130+model!M131</f>
        <v>5.8800584056469791</v>
      </c>
      <c r="R107" s="12">
        <f>model!N118+model!N130+model!N131</f>
        <v>6.8996414456315778</v>
      </c>
      <c r="S107" s="12">
        <f>model!O118+model!O130+model!O131</f>
        <v>9.8439883378842801</v>
      </c>
    </row>
    <row r="108" spans="1:19">
      <c r="A108" s="9" t="s">
        <v>98</v>
      </c>
      <c r="B108" s="15"/>
      <c r="C108" s="12"/>
      <c r="D108" s="12"/>
      <c r="E108" s="12"/>
      <c r="F108" s="12">
        <v>-11.468818897637796</v>
      </c>
      <c r="G108" s="12">
        <f>model!C121</f>
        <v>-22.891963109354414</v>
      </c>
      <c r="H108" s="12">
        <f>model!D121</f>
        <v>-42.176870748299322</v>
      </c>
      <c r="I108" s="12">
        <f>model!E121</f>
        <v>-110.58172101857515</v>
      </c>
      <c r="J108" s="12">
        <f>model!F121</f>
        <v>-99.73637961335676</v>
      </c>
      <c r="K108" s="12">
        <f>model!G121</f>
        <v>-69.997411338338068</v>
      </c>
      <c r="L108" s="12">
        <f>model!H121</f>
        <v>-85.123751061189836</v>
      </c>
      <c r="M108" s="12">
        <f>model!I121</f>
        <v>-86.170796430450892</v>
      </c>
      <c r="N108" s="12">
        <f>model!J121</f>
        <v>-70.717281428110539</v>
      </c>
      <c r="O108" s="12">
        <f>model!K121</f>
        <v>-69.806264145793989</v>
      </c>
      <c r="P108" s="12">
        <f>model!L121</f>
        <v>-69.015431976594797</v>
      </c>
      <c r="Q108" s="12">
        <f>model!M121</f>
        <v>-68.216585523714144</v>
      </c>
      <c r="R108" s="12">
        <f>model!N121</f>
        <v>-67.473802035658835</v>
      </c>
      <c r="S108" s="12">
        <f>model!O121</f>
        <v>-66.795874307109685</v>
      </c>
    </row>
    <row r="109" spans="1:19">
      <c r="A109" s="9" t="s">
        <v>95</v>
      </c>
      <c r="B109" s="15"/>
      <c r="C109" s="12"/>
      <c r="D109" s="12"/>
      <c r="E109" s="12"/>
      <c r="F109" s="12">
        <f>F103</f>
        <v>-117.2208188976378</v>
      </c>
      <c r="G109" s="12">
        <f>model!C144</f>
        <v>-179.47957839262187</v>
      </c>
      <c r="H109" s="12">
        <f>model!D144</f>
        <v>-368.84353741496602</v>
      </c>
      <c r="I109" s="12">
        <f>model!E144</f>
        <v>-519.00975437015097</v>
      </c>
      <c r="J109" s="12">
        <f>model!F144</f>
        <v>-453.27014812955059</v>
      </c>
      <c r="K109" s="12">
        <f>model!G144</f>
        <v>-297.12658555526792</v>
      </c>
      <c r="L109" s="12">
        <f>model!H144</f>
        <v>-246.63684451119963</v>
      </c>
      <c r="M109" s="12">
        <f>model!I144</f>
        <v>-181.06019042073953</v>
      </c>
      <c r="N109" s="12">
        <f>model!J144</f>
        <v>-194.4123023981073</v>
      </c>
      <c r="O109" s="12">
        <f>model!K144</f>
        <v>-320</v>
      </c>
      <c r="P109" s="12">
        <f>model!L144</f>
        <v>-312</v>
      </c>
      <c r="Q109" s="12">
        <f>model!M144</f>
        <v>-254</v>
      </c>
      <c r="R109" s="12">
        <f>model!N144</f>
        <v>-78</v>
      </c>
      <c r="S109" s="12">
        <f>model!O144</f>
        <v>-52</v>
      </c>
    </row>
    <row r="110" spans="1:19">
      <c r="A110" s="41" t="s">
        <v>200</v>
      </c>
      <c r="B110" s="15"/>
      <c r="C110" s="12"/>
      <c r="D110" s="12"/>
      <c r="E110" s="12"/>
      <c r="F110" s="12">
        <v>-45</v>
      </c>
      <c r="G110" s="12">
        <f>model!C155</f>
        <v>-49.110671936758891</v>
      </c>
      <c r="H110" s="12">
        <f>model!D155</f>
        <v>-65.204081632653057</v>
      </c>
      <c r="I110" s="12">
        <f>model!E155</f>
        <v>-63.419502301773818</v>
      </c>
      <c r="J110" s="12">
        <f>model!F155</f>
        <v>-80.529751443635448</v>
      </c>
      <c r="K110" s="12">
        <f>model!G155</f>
        <v>-66.425058244887396</v>
      </c>
      <c r="L110" s="12">
        <f>model!H155</f>
        <v>-41.352249722458026</v>
      </c>
      <c r="M110" s="12">
        <f>model!I155</f>
        <v>-57</v>
      </c>
      <c r="N110" s="12">
        <f>model!J155</f>
        <v>-42</v>
      </c>
      <c r="O110" s="12">
        <f>model!K155</f>
        <v>-52</v>
      </c>
      <c r="P110" s="12">
        <f>model!L155</f>
        <v>-52</v>
      </c>
      <c r="Q110" s="12">
        <f>model!M155</f>
        <v>-52</v>
      </c>
      <c r="R110" s="12">
        <f>model!N155</f>
        <v>-52</v>
      </c>
      <c r="S110" s="12">
        <f>model!O155</f>
        <v>-52</v>
      </c>
    </row>
    <row r="114" spans="1:19">
      <c r="A114" s="9"/>
      <c r="B114" s="8"/>
      <c r="C114" s="8"/>
      <c r="D114" s="8"/>
      <c r="E114" s="8"/>
      <c r="F114" s="7"/>
      <c r="G114" s="273"/>
      <c r="H114" s="273"/>
      <c r="I114" s="273"/>
      <c r="J114" s="273"/>
      <c r="K114" s="273"/>
      <c r="L114" s="273"/>
      <c r="M114" s="273"/>
      <c r="N114" s="273"/>
      <c r="O114" s="273"/>
    </row>
    <row r="115" spans="1:19" ht="12.75" thickBot="1">
      <c r="A115" s="9"/>
      <c r="B115" s="8"/>
      <c r="C115" s="8"/>
      <c r="D115" s="8"/>
      <c r="E115" s="8"/>
      <c r="F115" s="7"/>
      <c r="G115" s="273"/>
      <c r="H115" s="273"/>
      <c r="I115" s="273"/>
      <c r="J115" s="273"/>
      <c r="K115" s="273"/>
      <c r="L115" s="273"/>
      <c r="M115" s="273"/>
      <c r="N115" s="273"/>
      <c r="O115" s="273"/>
    </row>
    <row r="116" spans="1:19" ht="12.75" thickBot="1">
      <c r="A116" s="291" t="str">
        <f t="shared" ref="A116:Q116" si="134">1:1</f>
        <v>USD</v>
      </c>
      <c r="B116" s="305">
        <f t="shared" si="134"/>
        <v>2005</v>
      </c>
      <c r="C116" s="305">
        <f t="shared" si="134"/>
        <v>2006</v>
      </c>
      <c r="D116" s="305">
        <f t="shared" si="134"/>
        <v>2007</v>
      </c>
      <c r="E116" s="305">
        <f t="shared" si="134"/>
        <v>2008</v>
      </c>
      <c r="F116" s="305">
        <f t="shared" si="134"/>
        <v>2009</v>
      </c>
      <c r="G116" s="305">
        <f t="shared" si="134"/>
        <v>2010</v>
      </c>
      <c r="H116" s="305">
        <f t="shared" si="134"/>
        <v>2011</v>
      </c>
      <c r="I116" s="305">
        <f t="shared" si="134"/>
        <v>2012</v>
      </c>
      <c r="J116" s="305">
        <f t="shared" si="134"/>
        <v>2013</v>
      </c>
      <c r="K116" s="305">
        <f t="shared" si="134"/>
        <v>2014</v>
      </c>
      <c r="L116" s="305">
        <f t="shared" si="134"/>
        <v>2015</v>
      </c>
      <c r="M116" s="305">
        <f t="shared" si="134"/>
        <v>2016</v>
      </c>
      <c r="N116" s="305">
        <f t="shared" si="134"/>
        <v>2017</v>
      </c>
      <c r="O116" s="305">
        <f t="shared" si="134"/>
        <v>2018</v>
      </c>
      <c r="P116" s="305">
        <f t="shared" si="134"/>
        <v>2019</v>
      </c>
      <c r="Q116" s="305">
        <f t="shared" si="134"/>
        <v>2020</v>
      </c>
      <c r="R116" s="305">
        <f t="shared" ref="R116:S116" si="135">1:1</f>
        <v>2021</v>
      </c>
      <c r="S116" s="305">
        <f t="shared" ref="S116" si="136">1:1</f>
        <v>2022</v>
      </c>
    </row>
    <row r="117" spans="1:19">
      <c r="A117" s="293" t="str">
        <f>65:65</f>
        <v>EBITDA</v>
      </c>
      <c r="B117" s="294"/>
      <c r="C117" s="294"/>
      <c r="D117" s="294"/>
      <c r="E117" s="294"/>
      <c r="F117" s="294">
        <f t="shared" ref="F117:Q117" si="137">65:65</f>
        <v>212.72859842519682</v>
      </c>
      <c r="G117" s="294">
        <f t="shared" si="137"/>
        <v>354.51251646903825</v>
      </c>
      <c r="H117" s="294">
        <f t="shared" si="137"/>
        <v>711.49659863945567</v>
      </c>
      <c r="I117" s="294">
        <f t="shared" si="137"/>
        <v>651.1605446994821</v>
      </c>
      <c r="J117" s="294">
        <f t="shared" si="137"/>
        <v>503.57770524730103</v>
      </c>
      <c r="K117" s="294">
        <f t="shared" si="137"/>
        <v>558.76261972560155</v>
      </c>
      <c r="L117" s="294">
        <f t="shared" si="137"/>
        <v>678.57376085678823</v>
      </c>
      <c r="M117" s="294">
        <f t="shared" si="137"/>
        <v>456.92020019930351</v>
      </c>
      <c r="N117" s="294">
        <f t="shared" si="137"/>
        <v>508.99236477040523</v>
      </c>
      <c r="O117" s="294">
        <f t="shared" si="137"/>
        <v>639.71395063582509</v>
      </c>
      <c r="P117" s="294">
        <f t="shared" si="137"/>
        <v>674.91651584732142</v>
      </c>
      <c r="Q117" s="294">
        <f t="shared" si="137"/>
        <v>754.15881780860457</v>
      </c>
      <c r="R117" s="294">
        <f t="shared" ref="R117:S117" si="138">65:65</f>
        <v>891.22520494359185</v>
      </c>
      <c r="S117" s="294">
        <f t="shared" ref="S117" si="139">65:65</f>
        <v>916.16368775591116</v>
      </c>
    </row>
    <row r="118" spans="1:19">
      <c r="A118" s="295" t="str">
        <f>58:58</f>
        <v>Net financing costs</v>
      </c>
      <c r="B118" s="306"/>
      <c r="C118" s="306"/>
      <c r="D118" s="306"/>
      <c r="E118" s="306"/>
      <c r="F118" s="306">
        <f>58:58</f>
        <v>108.01735433070866</v>
      </c>
      <c r="G118" s="306">
        <f t="shared" ref="G118:Q118" si="140">58:58</f>
        <v>-9.5191040843214765</v>
      </c>
      <c r="H118" s="306">
        <f t="shared" si="140"/>
        <v>-7.2108843537414966</v>
      </c>
      <c r="I118" s="306">
        <f t="shared" si="140"/>
        <v>-80.385023983517371</v>
      </c>
      <c r="J118" s="306">
        <f t="shared" si="140"/>
        <v>-72.401456188802399</v>
      </c>
      <c r="K118" s="306">
        <f t="shared" si="140"/>
        <v>-53.53352316852186</v>
      </c>
      <c r="L118" s="306">
        <f t="shared" si="140"/>
        <v>-72.471102984392346</v>
      </c>
      <c r="M118" s="306">
        <f t="shared" si="140"/>
        <v>-74.361874050602196</v>
      </c>
      <c r="N118" s="306">
        <f t="shared" si="140"/>
        <v>-62.974513388536387</v>
      </c>
      <c r="O118" s="306">
        <f t="shared" si="140"/>
        <v>-63.189666674521099</v>
      </c>
      <c r="P118" s="306">
        <f t="shared" si="140"/>
        <v>-62.877448406785611</v>
      </c>
      <c r="Q118" s="306">
        <f t="shared" si="140"/>
        <v>-62.336527118067174</v>
      </c>
      <c r="R118" s="306">
        <f t="shared" ref="R118:S118" si="141">58:58</f>
        <v>-60.574160590027255</v>
      </c>
      <c r="S118" s="306">
        <f t="shared" ref="S118" si="142">58:58</f>
        <v>-56.951885969225408</v>
      </c>
    </row>
    <row r="119" spans="1:19">
      <c r="A119" s="295" t="str">
        <f>IncomeTax</f>
        <v>Income tax</v>
      </c>
      <c r="B119" s="306"/>
      <c r="C119" s="306"/>
      <c r="D119" s="306"/>
      <c r="E119" s="306"/>
      <c r="F119" s="306">
        <f t="shared" ref="F119:T119" si="143">IncomeTax</f>
        <v>-48.753637795275594</v>
      </c>
      <c r="G119" s="306">
        <f t="shared" si="143"/>
        <v>-62.747035573122531</v>
      </c>
      <c r="H119" s="306">
        <f t="shared" si="143"/>
        <v>-137.00680272108843</v>
      </c>
      <c r="I119" s="306">
        <f t="shared" si="143"/>
        <v>-83.861829185848123</v>
      </c>
      <c r="J119" s="306">
        <f t="shared" si="143"/>
        <v>-81.753703238764743</v>
      </c>
      <c r="K119" s="306">
        <f t="shared" si="143"/>
        <v>-52.032099404607813</v>
      </c>
      <c r="L119" s="306">
        <f t="shared" si="143"/>
        <v>-40.455821850715076</v>
      </c>
      <c r="M119" s="306">
        <f t="shared" si="143"/>
        <v>-58.656455158565763</v>
      </c>
      <c r="N119" s="306">
        <f t="shared" si="143"/>
        <v>-47.196472739004193</v>
      </c>
      <c r="O119" s="306">
        <f t="shared" si="143"/>
        <v>-58.23555013189565</v>
      </c>
      <c r="P119" s="306">
        <f t="shared" si="143"/>
        <v>-70.439747399232743</v>
      </c>
      <c r="Q119" s="306">
        <f t="shared" si="143"/>
        <v>-81.713339009574625</v>
      </c>
      <c r="R119" s="306">
        <f t="shared" si="143"/>
        <v>-103.67792006654336</v>
      </c>
      <c r="S119" s="306">
        <f t="shared" si="143"/>
        <v>-110.32348268561775</v>
      </c>
    </row>
    <row r="120" spans="1:19">
      <c r="A120" s="295" t="str">
        <f>MinorInterestIncome</f>
        <v>Minority interest</v>
      </c>
      <c r="B120" s="306"/>
      <c r="C120" s="306"/>
      <c r="D120" s="306"/>
      <c r="E120" s="306"/>
      <c r="F120" s="306">
        <f t="shared" ref="F120:T120" si="144">MinorInterestIncome</f>
        <v>-5.5008188976377959</v>
      </c>
      <c r="G120" s="306">
        <f t="shared" si="144"/>
        <v>-22.891963109354414</v>
      </c>
      <c r="H120" s="306">
        <f t="shared" si="144"/>
        <v>-67.993197278911566</v>
      </c>
      <c r="I120" s="306">
        <f t="shared" si="144"/>
        <v>-21.440298747706276</v>
      </c>
      <c r="J120" s="306">
        <f t="shared" si="144"/>
        <v>-24.918403213658046</v>
      </c>
      <c r="K120" s="306">
        <f t="shared" si="144"/>
        <v>-65.311933730261444</v>
      </c>
      <c r="L120" s="306">
        <f t="shared" si="144"/>
        <v>-32.113237118787957</v>
      </c>
      <c r="M120" s="306">
        <f t="shared" si="144"/>
        <v>9.405336408729049</v>
      </c>
      <c r="N120" s="306">
        <f t="shared" si="144"/>
        <v>-14.24669319281643</v>
      </c>
      <c r="O120" s="306">
        <f t="shared" si="144"/>
        <v>-16.907095199582614</v>
      </c>
      <c r="P120" s="306">
        <f t="shared" si="144"/>
        <v>-20.450249244938547</v>
      </c>
      <c r="Q120" s="306">
        <f t="shared" si="144"/>
        <v>-23.723227454392642</v>
      </c>
      <c r="R120" s="306">
        <f t="shared" si="144"/>
        <v>-30.100041309641632</v>
      </c>
      <c r="S120" s="306">
        <f t="shared" si="144"/>
        <v>-32.029398199050327</v>
      </c>
    </row>
    <row r="121" spans="1:19">
      <c r="A121" s="295" t="str">
        <f>StayInBsnCapex</f>
        <v>Stay-in-Business capex</v>
      </c>
      <c r="B121" s="306"/>
      <c r="C121" s="306"/>
      <c r="D121" s="306"/>
      <c r="E121" s="306"/>
      <c r="F121" s="306">
        <f t="shared" ref="F121:T121" si="145">StayInBsnCapex</f>
        <v>-45</v>
      </c>
      <c r="G121" s="306">
        <f t="shared" si="145"/>
        <v>-49.110671936758891</v>
      </c>
      <c r="H121" s="306">
        <f t="shared" si="145"/>
        <v>-65.204081632653057</v>
      </c>
      <c r="I121" s="306">
        <f t="shared" si="145"/>
        <v>-63.419502301773818</v>
      </c>
      <c r="J121" s="306">
        <f t="shared" si="145"/>
        <v>-80.529751443635448</v>
      </c>
      <c r="K121" s="306">
        <f t="shared" si="145"/>
        <v>-66.425058244887396</v>
      </c>
      <c r="L121" s="306">
        <f t="shared" si="145"/>
        <v>-41.352249722458026</v>
      </c>
      <c r="M121" s="306">
        <f t="shared" si="145"/>
        <v>-57</v>
      </c>
      <c r="N121" s="306">
        <f t="shared" si="145"/>
        <v>-42</v>
      </c>
      <c r="O121" s="306">
        <f t="shared" si="145"/>
        <v>-52</v>
      </c>
      <c r="P121" s="306">
        <f t="shared" si="145"/>
        <v>-52</v>
      </c>
      <c r="Q121" s="306">
        <f t="shared" si="145"/>
        <v>-52</v>
      </c>
      <c r="R121" s="306">
        <f t="shared" si="145"/>
        <v>-52</v>
      </c>
      <c r="S121" s="306">
        <f t="shared" si="145"/>
        <v>-52</v>
      </c>
    </row>
    <row r="122" spans="1:19">
      <c r="A122" s="293" t="s">
        <v>224</v>
      </c>
      <c r="B122" s="294"/>
      <c r="C122" s="294"/>
      <c r="D122" s="294"/>
      <c r="E122" s="294"/>
      <c r="F122" s="294">
        <f t="shared" ref="F122:H122" si="146">SUM(F117:F121)</f>
        <v>221.4914960629921</v>
      </c>
      <c r="G122" s="294">
        <f t="shared" si="146"/>
        <v>210.24374176548093</v>
      </c>
      <c r="H122" s="294">
        <f t="shared" si="146"/>
        <v>434.08163265306115</v>
      </c>
      <c r="I122" s="294">
        <f t="shared" ref="I122:Q122" si="147">SUM(I117:I121)</f>
        <v>402.05389048063648</v>
      </c>
      <c r="J122" s="294">
        <f t="shared" si="147"/>
        <v>243.97439116244038</v>
      </c>
      <c r="K122" s="294">
        <f t="shared" si="147"/>
        <v>321.46000517732301</v>
      </c>
      <c r="L122" s="294">
        <f t="shared" si="147"/>
        <v>492.18134918043472</v>
      </c>
      <c r="M122" s="294">
        <f t="shared" si="147"/>
        <v>276.30720739886459</v>
      </c>
      <c r="N122" s="294">
        <f t="shared" si="147"/>
        <v>342.57468545004821</v>
      </c>
      <c r="O122" s="294">
        <f t="shared" si="147"/>
        <v>449.38163862982572</v>
      </c>
      <c r="P122" s="294">
        <f t="shared" si="147"/>
        <v>469.14907079636464</v>
      </c>
      <c r="Q122" s="294">
        <f t="shared" si="147"/>
        <v>534.38572422657023</v>
      </c>
      <c r="R122" s="294">
        <f t="shared" ref="R122:S122" si="148">SUM(R117:R121)</f>
        <v>644.87308297737957</v>
      </c>
      <c r="S122" s="294">
        <f t="shared" ref="S122" si="149">SUM(S117:S121)</f>
        <v>664.85892090201776</v>
      </c>
    </row>
    <row r="123" spans="1:19">
      <c r="A123" s="295" t="str">
        <f>WC_change</f>
        <v>WC change</v>
      </c>
      <c r="B123" s="306"/>
      <c r="C123" s="306"/>
      <c r="D123" s="306"/>
      <c r="E123" s="306"/>
      <c r="F123" s="306">
        <f t="shared" ref="F123:T123" si="150">WC_change</f>
        <v>-75.522425196850378</v>
      </c>
      <c r="G123" s="306">
        <f t="shared" si="150"/>
        <v>-78.985507246376812</v>
      </c>
      <c r="H123" s="306">
        <f t="shared" si="150"/>
        <v>-111.73469387755102</v>
      </c>
      <c r="I123" s="306">
        <f t="shared" si="150"/>
        <v>-81.125454721050772</v>
      </c>
      <c r="J123" s="306">
        <f t="shared" si="150"/>
        <v>136.07833291488828</v>
      </c>
      <c r="K123" s="306">
        <f t="shared" si="150"/>
        <v>-105.82448873932177</v>
      </c>
      <c r="L123" s="306">
        <f t="shared" si="150"/>
        <v>47.851498726572189</v>
      </c>
      <c r="M123" s="306">
        <f t="shared" si="150"/>
        <v>16.70566895455207</v>
      </c>
      <c r="N123" s="306">
        <f t="shared" si="150"/>
        <v>-68.979460157006116</v>
      </c>
      <c r="O123" s="306">
        <f t="shared" si="150"/>
        <v>0</v>
      </c>
      <c r="P123" s="306">
        <f t="shared" si="150"/>
        <v>0</v>
      </c>
      <c r="Q123" s="306">
        <f t="shared" si="150"/>
        <v>0</v>
      </c>
      <c r="R123" s="306">
        <f t="shared" si="150"/>
        <v>0</v>
      </c>
      <c r="S123" s="306">
        <f t="shared" si="150"/>
        <v>0</v>
      </c>
    </row>
    <row r="124" spans="1:19">
      <c r="A124" s="295" t="s">
        <v>184</v>
      </c>
      <c r="B124" s="296"/>
      <c r="C124" s="296"/>
      <c r="D124" s="296"/>
      <c r="E124" s="296"/>
      <c r="F124" s="296">
        <f t="shared" ref="F124:T124" si="151">CAPEX-StayInBsnCapex</f>
        <v>-72.220818897637798</v>
      </c>
      <c r="G124" s="296">
        <f t="shared" si="151"/>
        <v>-130.368906455863</v>
      </c>
      <c r="H124" s="296">
        <f t="shared" si="151"/>
        <v>-303.63945578231295</v>
      </c>
      <c r="I124" s="296">
        <f t="shared" si="151"/>
        <v>-455.59025206837714</v>
      </c>
      <c r="J124" s="296">
        <f t="shared" si="151"/>
        <v>-372.74039668591513</v>
      </c>
      <c r="K124" s="296">
        <f t="shared" si="151"/>
        <v>-230.70152731038053</v>
      </c>
      <c r="L124" s="296">
        <f t="shared" si="151"/>
        <v>-205.2845947887416</v>
      </c>
      <c r="M124" s="296">
        <f t="shared" si="151"/>
        <v>-124.06019042073953</v>
      </c>
      <c r="N124" s="296">
        <f t="shared" si="151"/>
        <v>-152.4123023981073</v>
      </c>
      <c r="O124" s="296">
        <f t="shared" si="151"/>
        <v>-268</v>
      </c>
      <c r="P124" s="296">
        <f t="shared" si="151"/>
        <v>-260</v>
      </c>
      <c r="Q124" s="296">
        <f t="shared" si="151"/>
        <v>-202</v>
      </c>
      <c r="R124" s="296">
        <f t="shared" si="151"/>
        <v>-26</v>
      </c>
      <c r="S124" s="296">
        <f t="shared" si="151"/>
        <v>0</v>
      </c>
    </row>
    <row r="125" spans="1:19">
      <c r="A125" s="293" t="s">
        <v>225</v>
      </c>
      <c r="B125" s="294"/>
      <c r="C125" s="294"/>
      <c r="D125" s="294"/>
      <c r="E125" s="294"/>
      <c r="F125" s="294">
        <f t="shared" ref="F125:H125" si="152">SUM(F122:F124)</f>
        <v>73.748251968503922</v>
      </c>
      <c r="G125" s="294">
        <f t="shared" si="152"/>
        <v>0.88932806324112335</v>
      </c>
      <c r="H125" s="294">
        <f t="shared" si="152"/>
        <v>18.707482993197175</v>
      </c>
      <c r="I125" s="294">
        <f>SUM(I122:I124)</f>
        <v>-134.66181630879146</v>
      </c>
      <c r="J125" s="294">
        <f t="shared" ref="J125:Q125" si="153">SUM(J122:J124)</f>
        <v>7.3123273914135325</v>
      </c>
      <c r="K125" s="294">
        <f t="shared" si="153"/>
        <v>-15.06601087237928</v>
      </c>
      <c r="L125" s="294">
        <f t="shared" si="153"/>
        <v>334.74825311826532</v>
      </c>
      <c r="M125" s="294">
        <f t="shared" si="153"/>
        <v>168.95268593267716</v>
      </c>
      <c r="N125" s="294">
        <f t="shared" si="153"/>
        <v>121.18292289493476</v>
      </c>
      <c r="O125" s="294">
        <f t="shared" si="153"/>
        <v>181.38163862982572</v>
      </c>
      <c r="P125" s="294">
        <f t="shared" si="153"/>
        <v>209.14907079636464</v>
      </c>
      <c r="Q125" s="294">
        <f t="shared" si="153"/>
        <v>332.38572422657023</v>
      </c>
      <c r="R125" s="294">
        <f t="shared" ref="R125:S125" si="154">SUM(R122:R124)</f>
        <v>618.87308297737957</v>
      </c>
      <c r="S125" s="294">
        <f t="shared" ref="S125" si="155">SUM(S122:S124)</f>
        <v>664.85892090201776</v>
      </c>
    </row>
    <row r="126" spans="1:19">
      <c r="A126" s="292" t="s">
        <v>226</v>
      </c>
      <c r="B126" s="298"/>
      <c r="C126" s="298"/>
      <c r="D126" s="298"/>
      <c r="E126" s="298"/>
      <c r="F126" s="307">
        <f t="shared" ref="F126:H126" si="156">122:122/20:20</f>
        <v>4.6446350007757173</v>
      </c>
      <c r="G126" s="307">
        <f t="shared" si="156"/>
        <v>4.4087717093223588</v>
      </c>
      <c r="H126" s="307">
        <f t="shared" si="156"/>
        <v>9.1026101681162626</v>
      </c>
      <c r="I126" s="307">
        <f>122:122/20:20</f>
        <v>8.4309944404968267</v>
      </c>
      <c r="J126" s="307">
        <f t="shared" ref="J126:Q126" si="157">122:122/20:20</f>
        <v>6.0190060483159913</v>
      </c>
      <c r="K126" s="307">
        <f t="shared" si="157"/>
        <v>7.9306262687453257</v>
      </c>
      <c r="L126" s="307">
        <f t="shared" si="157"/>
        <v>12.142432258855152</v>
      </c>
      <c r="M126" s="307">
        <f t="shared" si="157"/>
        <v>6.9410332378863062</v>
      </c>
      <c r="N126" s="307">
        <f t="shared" si="157"/>
        <v>8.6975377459406253</v>
      </c>
      <c r="O126" s="307">
        <f t="shared" si="157"/>
        <v>11.409231126289599</v>
      </c>
      <c r="P126" s="307">
        <f t="shared" si="157"/>
        <v>11.9111012139259</v>
      </c>
      <c r="Q126" s="307">
        <f t="shared" si="157"/>
        <v>13.567377289557863</v>
      </c>
      <c r="R126" s="307">
        <f t="shared" ref="R126:S126" si="158">122:122/20:20</f>
        <v>16.372511509916269</v>
      </c>
      <c r="S126" s="307">
        <f t="shared" ref="S126" si="159">122:122/20:20</f>
        <v>16.879926643364996</v>
      </c>
    </row>
    <row r="127" spans="1:19">
      <c r="A127" s="293" t="s">
        <v>227</v>
      </c>
      <c r="B127" s="293"/>
      <c r="C127" s="293"/>
      <c r="D127" s="293"/>
      <c r="E127" s="294"/>
      <c r="F127" s="294">
        <f t="shared" ref="F127:G127" si="160">128:128*20:20</f>
        <v>1034.8209200000001</v>
      </c>
      <c r="G127" s="294">
        <f t="shared" si="160"/>
        <v>1469.254956</v>
      </c>
      <c r="H127" s="294">
        <f>128:128*20:20</f>
        <v>2142.6038680000001</v>
      </c>
      <c r="I127" s="294">
        <f>128:128*20:20</f>
        <v>2017.6623560000003</v>
      </c>
      <c r="J127" s="294">
        <f t="shared" ref="J127:Q127" si="161">128:128*20:20</f>
        <v>1524.0784000000001</v>
      </c>
      <c r="K127" s="294">
        <f t="shared" si="161"/>
        <v>1325.4618</v>
      </c>
      <c r="L127" s="294">
        <f t="shared" si="161"/>
        <v>1722.6949999999999</v>
      </c>
      <c r="M127" s="294">
        <f t="shared" si="161"/>
        <v>2120.5610798400003</v>
      </c>
      <c r="N127" s="294">
        <f t="shared" si="161"/>
        <v>2263.2085080800002</v>
      </c>
      <c r="O127" s="294">
        <f t="shared" si="161"/>
        <v>2263.2085080800002</v>
      </c>
      <c r="P127" s="294">
        <f t="shared" si="161"/>
        <v>2263.2085080800002</v>
      </c>
      <c r="Q127" s="294">
        <f t="shared" si="161"/>
        <v>2263.2085080800002</v>
      </c>
      <c r="R127" s="294">
        <f t="shared" ref="R127:S127" si="162">128:128*20:20</f>
        <v>2263.2085080800002</v>
      </c>
      <c r="S127" s="294">
        <f t="shared" ref="S127" si="163">128:128*20:20</f>
        <v>2302.5960560800004</v>
      </c>
    </row>
    <row r="128" spans="1:19">
      <c r="A128" s="312" t="s">
        <v>261</v>
      </c>
      <c r="B128" s="312"/>
      <c r="C128" s="312"/>
      <c r="D128" s="312"/>
      <c r="E128" s="313"/>
      <c r="F128" s="312">
        <v>21.7</v>
      </c>
      <c r="G128" s="312">
        <v>30.81</v>
      </c>
      <c r="H128" s="312">
        <v>44.93</v>
      </c>
      <c r="I128" s="312">
        <v>42.31</v>
      </c>
      <c r="J128" s="312">
        <v>37.6</v>
      </c>
      <c r="K128" s="312">
        <v>32.700000000000003</v>
      </c>
      <c r="L128" s="312">
        <v>42.5</v>
      </c>
      <c r="M128" s="312">
        <v>53.27</v>
      </c>
      <c r="N128" s="312">
        <v>57.46</v>
      </c>
      <c r="O128" s="312">
        <v>57.46</v>
      </c>
      <c r="P128" s="312">
        <v>57.46</v>
      </c>
      <c r="Q128" s="312">
        <v>57.46</v>
      </c>
      <c r="R128" s="312">
        <v>57.46</v>
      </c>
      <c r="S128" s="312">
        <v>58.46</v>
      </c>
    </row>
    <row r="129" spans="1:19">
      <c r="A129" s="293"/>
      <c r="B129" s="293"/>
      <c r="C129" s="293"/>
      <c r="D129" s="293"/>
      <c r="E129" s="294"/>
      <c r="F129" s="294"/>
      <c r="G129" s="294"/>
      <c r="H129" s="294"/>
      <c r="I129" s="294"/>
      <c r="J129" s="294"/>
      <c r="K129" s="294"/>
      <c r="L129" s="294"/>
      <c r="M129" s="294"/>
      <c r="N129" s="294"/>
      <c r="O129" s="294"/>
      <c r="P129" s="294"/>
      <c r="Q129" s="294"/>
      <c r="R129" s="294"/>
      <c r="S129" s="294"/>
    </row>
    <row r="130" spans="1:19">
      <c r="A130" s="308" t="s">
        <v>228</v>
      </c>
      <c r="B130" s="309"/>
      <c r="C130" s="309"/>
      <c r="D130" s="309"/>
      <c r="E130" s="310"/>
      <c r="F130" s="311">
        <f>122:122/127:127</f>
        <v>0.21403847929842013</v>
      </c>
      <c r="G130" s="311">
        <f t="shared" ref="G130:H130" si="164">122:122/127:127</f>
        <v>0.14309547904324438</v>
      </c>
      <c r="H130" s="311">
        <f t="shared" si="164"/>
        <v>0.20259537431818969</v>
      </c>
      <c r="I130" s="311">
        <f t="shared" ref="I130:Q130" si="165">122:122/127:127</f>
        <v>0.19926718129276355</v>
      </c>
      <c r="J130" s="311">
        <f t="shared" si="165"/>
        <v>0.16007994809351039</v>
      </c>
      <c r="K130" s="311">
        <f t="shared" si="165"/>
        <v>0.24252679720933715</v>
      </c>
      <c r="L130" s="311">
        <f t="shared" si="165"/>
        <v>0.28570428844365064</v>
      </c>
      <c r="M130" s="311">
        <f t="shared" si="165"/>
        <v>0.13029910339565057</v>
      </c>
      <c r="N130" s="311">
        <f t="shared" si="165"/>
        <v>0.15136682467700358</v>
      </c>
      <c r="O130" s="311">
        <f t="shared" si="165"/>
        <v>0.1985595392671354</v>
      </c>
      <c r="P130" s="311">
        <f t="shared" si="165"/>
        <v>0.20729379070528886</v>
      </c>
      <c r="Q130" s="311">
        <f t="shared" si="165"/>
        <v>0.23611864409254893</v>
      </c>
      <c r="R130" s="311">
        <f t="shared" ref="R130:S130" si="166">122:122/127:127</f>
        <v>0.28493754803195731</v>
      </c>
      <c r="S130" s="311">
        <f t="shared" ref="S130" si="167">122:122/127:127</f>
        <v>0.28874318582560715</v>
      </c>
    </row>
    <row r="131" spans="1:19">
      <c r="A131" s="293"/>
      <c r="B131" s="292"/>
      <c r="C131" s="292"/>
      <c r="D131" s="292"/>
      <c r="E131" s="297"/>
      <c r="F131" s="292"/>
      <c r="G131" s="292"/>
      <c r="H131" s="292"/>
      <c r="I131" s="299"/>
      <c r="J131" s="299"/>
      <c r="K131" s="299"/>
      <c r="L131" s="299"/>
      <c r="M131" s="299"/>
      <c r="N131" s="299"/>
      <c r="O131" s="299"/>
      <c r="P131" s="299"/>
      <c r="Q131" s="299"/>
      <c r="R131" s="299"/>
      <c r="S131" s="299"/>
    </row>
    <row r="132" spans="1:19">
      <c r="A132" s="314" t="s">
        <v>229</v>
      </c>
      <c r="B132" s="315"/>
      <c r="C132" s="315"/>
      <c r="D132" s="315"/>
      <c r="E132" s="316"/>
      <c r="F132" s="317">
        <v>0.13500000000000001</v>
      </c>
      <c r="G132" s="317">
        <f t="shared" ref="G132:Q132" si="168">138:138+139:139*141:141+145:145+144:144</f>
        <v>0.12292203663310025</v>
      </c>
      <c r="H132" s="317">
        <f t="shared" si="168"/>
        <v>0.13600736067035035</v>
      </c>
      <c r="I132" s="317">
        <f t="shared" si="168"/>
        <v>0.13236762445684813</v>
      </c>
      <c r="J132" s="317">
        <f t="shared" si="168"/>
        <v>0.13297312861390709</v>
      </c>
      <c r="K132" s="317">
        <f t="shared" si="168"/>
        <v>0.13468668262140809</v>
      </c>
      <c r="L132" s="317">
        <f t="shared" si="168"/>
        <v>0.12275060300380718</v>
      </c>
      <c r="M132" s="317">
        <f t="shared" si="168"/>
        <v>0.11608015953735798</v>
      </c>
      <c r="N132" s="317">
        <f t="shared" si="168"/>
        <v>0.11121718810353284</v>
      </c>
      <c r="O132" s="317">
        <f t="shared" si="168"/>
        <v>0.10733114261542671</v>
      </c>
      <c r="P132" s="317">
        <f t="shared" si="168"/>
        <v>0.10391916967074005</v>
      </c>
      <c r="Q132" s="317">
        <f t="shared" si="168"/>
        <v>0.1009924068187155</v>
      </c>
      <c r="R132" s="317">
        <f t="shared" ref="R132:S132" si="169">138:138+139:139*141:141+145:145+144:144</f>
        <v>9.8065643966690957E-2</v>
      </c>
      <c r="S132" s="317">
        <f t="shared" ref="S132" si="170">138:138+139:139*141:141+145:145+144:144</f>
        <v>5.017493043411541</v>
      </c>
    </row>
    <row r="133" spans="1:19">
      <c r="A133" s="293"/>
      <c r="B133" s="292"/>
      <c r="C133" s="292"/>
      <c r="D133" s="292"/>
      <c r="E133" s="297"/>
      <c r="F133" s="292"/>
      <c r="G133" s="292"/>
      <c r="H133" s="292"/>
      <c r="I133" s="300"/>
      <c r="J133" s="300"/>
      <c r="K133" s="300"/>
      <c r="L133" s="300"/>
      <c r="M133" s="300"/>
      <c r="N133" s="300"/>
      <c r="O133" s="300"/>
      <c r="P133" s="300"/>
      <c r="Q133" s="300"/>
      <c r="R133" s="300"/>
      <c r="S133" s="300"/>
    </row>
    <row r="134" spans="1:19" ht="15">
      <c r="A134" s="304" t="s">
        <v>230</v>
      </c>
      <c r="B134" s="1" t="s" vm="1">
        <v>262</v>
      </c>
      <c r="C134" s="292"/>
      <c r="D134" s="292"/>
      <c r="E134" s="297"/>
      <c r="F134" s="292"/>
      <c r="G134" s="292"/>
      <c r="H134" s="292"/>
      <c r="I134" s="292"/>
      <c r="J134" s="292"/>
      <c r="K134" s="292"/>
      <c r="L134" s="292"/>
      <c r="M134" s="292"/>
      <c r="N134" s="292"/>
      <c r="O134" s="292"/>
      <c r="P134" s="292"/>
      <c r="Q134" s="292"/>
      <c r="R134" s="292"/>
      <c r="S134" s="292"/>
    </row>
    <row r="135" spans="1:19">
      <c r="A135" s="292"/>
      <c r="B135" s="292"/>
      <c r="C135" s="292"/>
      <c r="D135" s="292"/>
      <c r="E135" s="297"/>
      <c r="F135" s="292"/>
      <c r="G135" s="292"/>
      <c r="H135" s="292"/>
      <c r="I135" s="292"/>
      <c r="J135" s="292"/>
      <c r="K135" s="292"/>
      <c r="L135" s="292"/>
      <c r="M135" s="292"/>
      <c r="N135" s="292"/>
      <c r="O135" s="292"/>
      <c r="P135" s="292"/>
      <c r="Q135" s="292"/>
      <c r="R135" s="292"/>
      <c r="S135" s="292"/>
    </row>
    <row r="136" spans="1:19" ht="15">
      <c r="A136"/>
      <c r="B136" s="304" t="s">
        <v>231</v>
      </c>
      <c r="C136"/>
      <c r="D136"/>
      <c r="E136"/>
      <c r="F136"/>
      <c r="G136"/>
      <c r="H136"/>
      <c r="I136"/>
      <c r="J136"/>
      <c r="K136"/>
      <c r="L136"/>
      <c r="M136"/>
      <c r="N136"/>
      <c r="O136"/>
      <c r="P136"/>
      <c r="Q136"/>
      <c r="R136" s="1"/>
      <c r="S136" s="1"/>
    </row>
    <row r="137" spans="1:19" ht="15">
      <c r="A137" s="304" t="s">
        <v>232</v>
      </c>
      <c r="B137" s="1" t="s">
        <v>233</v>
      </c>
      <c r="C137" s="1" t="s">
        <v>234</v>
      </c>
      <c r="D137" s="1" t="s">
        <v>235</v>
      </c>
      <c r="E137" s="1" t="s">
        <v>236</v>
      </c>
      <c r="F137" s="1" t="s">
        <v>237</v>
      </c>
      <c r="G137" s="1" t="s">
        <v>238</v>
      </c>
      <c r="H137" s="1" t="s">
        <v>239</v>
      </c>
      <c r="I137" s="1" t="s">
        <v>240</v>
      </c>
      <c r="J137" s="1" t="s">
        <v>241</v>
      </c>
      <c r="K137" s="1" t="s">
        <v>242</v>
      </c>
      <c r="L137" s="1" t="s">
        <v>243</v>
      </c>
      <c r="M137" s="1" t="s">
        <v>244</v>
      </c>
      <c r="N137" s="1" t="s">
        <v>245</v>
      </c>
      <c r="O137" s="1" t="s">
        <v>246</v>
      </c>
      <c r="P137" s="1" t="s">
        <v>247</v>
      </c>
      <c r="Q137" s="1" t="s">
        <v>248</v>
      </c>
      <c r="R137" s="1" t="s">
        <v>272</v>
      </c>
      <c r="S137" s="1" t="s">
        <v>327</v>
      </c>
    </row>
    <row r="138" spans="1:19" ht="15">
      <c r="A138" s="301" t="s">
        <v>249</v>
      </c>
      <c r="B138" s="302">
        <v>0</v>
      </c>
      <c r="C138" s="302">
        <v>0</v>
      </c>
      <c r="D138" s="302">
        <v>0</v>
      </c>
      <c r="E138" s="302">
        <v>0</v>
      </c>
      <c r="F138" s="302">
        <v>0</v>
      </c>
      <c r="G138" s="302">
        <v>5.1999999999999998E-2</v>
      </c>
      <c r="H138" s="302">
        <v>5.5E-2</v>
      </c>
      <c r="I138" s="302">
        <v>3.4000000000000002E-2</v>
      </c>
      <c r="J138" s="302">
        <v>3.9E-2</v>
      </c>
      <c r="K138" s="302">
        <v>4.2999999999999997E-2</v>
      </c>
      <c r="L138" s="302">
        <v>4.2999999999999997E-2</v>
      </c>
      <c r="M138" s="302">
        <v>0.04</v>
      </c>
      <c r="N138" s="302">
        <v>3.9E-2</v>
      </c>
      <c r="O138" s="302">
        <v>3.7999999999999999E-2</v>
      </c>
      <c r="P138" s="302">
        <v>3.6999999999999998E-2</v>
      </c>
      <c r="Q138" s="302">
        <v>3.5999999999999997E-2</v>
      </c>
      <c r="R138" s="302">
        <v>3.5000000000000003E-2</v>
      </c>
      <c r="S138" s="302">
        <v>1.0349999999999999</v>
      </c>
    </row>
    <row r="139" spans="1:19" ht="15">
      <c r="A139" s="301" t="s">
        <v>250</v>
      </c>
      <c r="B139" s="302">
        <v>0</v>
      </c>
      <c r="C139" s="302">
        <v>0</v>
      </c>
      <c r="D139" s="302">
        <v>0</v>
      </c>
      <c r="E139" s="302">
        <v>0</v>
      </c>
      <c r="F139" s="302">
        <v>0</v>
      </c>
      <c r="G139" s="302">
        <v>0.06</v>
      </c>
      <c r="H139" s="302">
        <v>0.06</v>
      </c>
      <c r="I139" s="302">
        <v>6.8000000000000005E-2</v>
      </c>
      <c r="J139" s="302">
        <v>0.06</v>
      </c>
      <c r="K139" s="302">
        <v>0.06</v>
      </c>
      <c r="L139" s="302">
        <v>0.06</v>
      </c>
      <c r="M139" s="302">
        <v>0.06</v>
      </c>
      <c r="N139" s="302">
        <v>0.06</v>
      </c>
      <c r="O139" s="302">
        <v>0.06</v>
      </c>
      <c r="P139" s="302">
        <v>0.06</v>
      </c>
      <c r="Q139" s="302">
        <v>0.06</v>
      </c>
      <c r="R139" s="302">
        <v>0.06</v>
      </c>
      <c r="S139" s="302">
        <v>1.06</v>
      </c>
    </row>
    <row r="140" spans="1:19" ht="15">
      <c r="A140" s="301" t="s">
        <v>251</v>
      </c>
      <c r="B140" s="303">
        <v>0</v>
      </c>
      <c r="C140" s="303">
        <v>0</v>
      </c>
      <c r="D140" s="303">
        <v>0</v>
      </c>
      <c r="E140" s="303">
        <v>0</v>
      </c>
      <c r="F140" s="303">
        <v>0</v>
      </c>
      <c r="G140" s="303">
        <v>0.9</v>
      </c>
      <c r="H140" s="303">
        <v>0.9</v>
      </c>
      <c r="I140" s="303">
        <v>0.9</v>
      </c>
      <c r="J140" s="303">
        <v>1</v>
      </c>
      <c r="K140" s="303">
        <v>0.9</v>
      </c>
      <c r="L140" s="303">
        <v>0.9</v>
      </c>
      <c r="M140" s="303">
        <v>0.9</v>
      </c>
      <c r="N140" s="303">
        <v>0.9</v>
      </c>
      <c r="O140" s="303">
        <v>0.9</v>
      </c>
      <c r="P140" s="303">
        <v>0.9</v>
      </c>
      <c r="Q140" s="303">
        <v>0.9</v>
      </c>
      <c r="R140" s="303">
        <v>0.9</v>
      </c>
      <c r="S140" s="303">
        <v>1.9</v>
      </c>
    </row>
    <row r="141" spans="1:19" ht="15">
      <c r="A141" s="301" t="s">
        <v>252</v>
      </c>
      <c r="B141" s="303">
        <v>0</v>
      </c>
      <c r="C141" s="303">
        <v>0</v>
      </c>
      <c r="D141" s="303">
        <v>0</v>
      </c>
      <c r="E141" s="303">
        <v>0</v>
      </c>
      <c r="F141" s="303">
        <v>0</v>
      </c>
      <c r="G141" s="303">
        <v>0.94870061055167099</v>
      </c>
      <c r="H141" s="303">
        <v>1.1001226778391722</v>
      </c>
      <c r="I141" s="303">
        <v>1.0201121243654134</v>
      </c>
      <c r="J141" s="303">
        <v>1.2995521435651181</v>
      </c>
      <c r="K141" s="303">
        <v>1.1781113770234686</v>
      </c>
      <c r="L141" s="303">
        <v>0.97917671673011963</v>
      </c>
      <c r="M141" s="303">
        <v>1.0763359922892999</v>
      </c>
      <c r="N141" s="303">
        <v>1.0119531350588808</v>
      </c>
      <c r="O141" s="303">
        <v>0.96385237692377868</v>
      </c>
      <c r="P141" s="303">
        <v>0.92365282784566771</v>
      </c>
      <c r="Q141" s="303">
        <v>0.89154011364525843</v>
      </c>
      <c r="R141" s="303">
        <v>0.85942739944484903</v>
      </c>
      <c r="S141" s="303">
        <v>1.85942739944485</v>
      </c>
    </row>
    <row r="142" spans="1:19" ht="15">
      <c r="A142" s="301" t="s">
        <v>253</v>
      </c>
      <c r="B142" s="302">
        <v>0</v>
      </c>
      <c r="C142" s="302">
        <v>0</v>
      </c>
      <c r="D142" s="302">
        <v>0</v>
      </c>
      <c r="E142" s="302">
        <v>0</v>
      </c>
      <c r="F142" s="302">
        <v>0</v>
      </c>
      <c r="G142" s="302">
        <v>6.7639736877320805E-2</v>
      </c>
      <c r="H142" s="302">
        <v>0.27794816366551661</v>
      </c>
      <c r="I142" s="302">
        <v>0.16682239495196316</v>
      </c>
      <c r="J142" s="302">
        <v>0.37444017945639746</v>
      </c>
      <c r="K142" s="302">
        <v>0.38626580142148398</v>
      </c>
      <c r="L142" s="302">
        <v>0.10996766212516595</v>
      </c>
      <c r="M142" s="302">
        <v>0.24491110040180533</v>
      </c>
      <c r="N142" s="302">
        <v>0.1554904653595568</v>
      </c>
      <c r="O142" s="302">
        <v>8.868385683858146E-2</v>
      </c>
      <c r="P142" s="302">
        <v>3.2851149785649632E-2</v>
      </c>
      <c r="Q142" s="302">
        <v>-1.17498421593633E-2</v>
      </c>
      <c r="R142" s="302">
        <v>-5.6350834104376302E-2</v>
      </c>
      <c r="S142" s="302">
        <v>0.94364916589562398</v>
      </c>
    </row>
    <row r="143" spans="1:19" ht="15">
      <c r="A143" s="301" t="s">
        <v>254</v>
      </c>
      <c r="B143" s="302">
        <v>0</v>
      </c>
      <c r="C143" s="302">
        <v>0</v>
      </c>
      <c r="D143" s="302">
        <v>0</v>
      </c>
      <c r="E143" s="302">
        <v>0</v>
      </c>
      <c r="F143" s="302">
        <v>0</v>
      </c>
      <c r="G143" s="302">
        <v>0.2</v>
      </c>
      <c r="H143" s="302">
        <v>0.2</v>
      </c>
      <c r="I143" s="302">
        <v>0.2</v>
      </c>
      <c r="J143" s="302">
        <v>0.2</v>
      </c>
      <c r="K143" s="302">
        <v>0.2</v>
      </c>
      <c r="L143" s="302">
        <v>0.2</v>
      </c>
      <c r="M143" s="302">
        <v>0.2</v>
      </c>
      <c r="N143" s="302">
        <v>0.2</v>
      </c>
      <c r="O143" s="302">
        <v>0.2</v>
      </c>
      <c r="P143" s="302">
        <v>0.2</v>
      </c>
      <c r="Q143" s="302">
        <v>0.2</v>
      </c>
      <c r="R143" s="302">
        <v>0.2</v>
      </c>
      <c r="S143" s="302">
        <v>1.2</v>
      </c>
    </row>
    <row r="144" spans="1:19" ht="15">
      <c r="A144" s="301" t="s">
        <v>255</v>
      </c>
      <c r="B144" s="302">
        <v>0</v>
      </c>
      <c r="C144" s="302">
        <v>0</v>
      </c>
      <c r="D144" s="302">
        <v>0</v>
      </c>
      <c r="E144" s="302">
        <v>0</v>
      </c>
      <c r="F144" s="302">
        <v>0</v>
      </c>
      <c r="G144" s="302">
        <v>0</v>
      </c>
      <c r="H144" s="302">
        <v>0</v>
      </c>
      <c r="I144" s="302">
        <v>1.4999999999999999E-2</v>
      </c>
      <c r="J144" s="302">
        <v>3.0000000000000001E-3</v>
      </c>
      <c r="K144" s="302">
        <v>0</v>
      </c>
      <c r="L144" s="302">
        <v>0</v>
      </c>
      <c r="M144" s="302">
        <v>-9.5000000000000032E-3</v>
      </c>
      <c r="N144" s="302">
        <v>-9.5000000000000032E-3</v>
      </c>
      <c r="O144" s="302">
        <v>-9.5000000000000032E-3</v>
      </c>
      <c r="P144" s="302">
        <v>-9.5000000000000032E-3</v>
      </c>
      <c r="Q144" s="302">
        <v>-9.5000000000000032E-3</v>
      </c>
      <c r="R144" s="302">
        <v>-9.4999999999999998E-3</v>
      </c>
      <c r="S144" s="302">
        <v>0.99050000000000005</v>
      </c>
    </row>
    <row r="145" spans="1:19" ht="15">
      <c r="A145" s="301" t="s">
        <v>256</v>
      </c>
      <c r="B145" s="302">
        <v>0</v>
      </c>
      <c r="C145" s="302">
        <v>0</v>
      </c>
      <c r="D145" s="302">
        <v>0</v>
      </c>
      <c r="E145" s="302">
        <v>0</v>
      </c>
      <c r="F145" s="302">
        <v>0</v>
      </c>
      <c r="G145" s="302">
        <v>1.4E-2</v>
      </c>
      <c r="H145" s="302">
        <v>1.4999999999999999E-2</v>
      </c>
      <c r="I145" s="302">
        <v>1.4E-2</v>
      </c>
      <c r="J145" s="302">
        <v>1.2999999999999999E-2</v>
      </c>
      <c r="K145" s="302">
        <v>2.1000000000000001E-2</v>
      </c>
      <c r="L145" s="302">
        <v>2.1000000000000001E-2</v>
      </c>
      <c r="M145" s="302">
        <v>2.1000000000000001E-2</v>
      </c>
      <c r="N145" s="302">
        <v>2.1000000000000001E-2</v>
      </c>
      <c r="O145" s="302">
        <v>2.1000000000000001E-2</v>
      </c>
      <c r="P145" s="302">
        <v>2.1000000000000001E-2</v>
      </c>
      <c r="Q145" s="302">
        <v>2.1000000000000001E-2</v>
      </c>
      <c r="R145" s="302">
        <v>2.1000000000000001E-2</v>
      </c>
      <c r="S145" s="302">
        <v>1.0209999999999999</v>
      </c>
    </row>
    <row r="146" spans="1:19" ht="15">
      <c r="A146" s="301" t="s">
        <v>257</v>
      </c>
      <c r="B146" s="302">
        <v>0</v>
      </c>
      <c r="C146" s="302">
        <v>0</v>
      </c>
      <c r="D146" s="302">
        <v>0</v>
      </c>
      <c r="E146" s="302">
        <v>0</v>
      </c>
      <c r="F146" s="302">
        <v>0</v>
      </c>
      <c r="G146" s="302">
        <v>0.12292203663310025</v>
      </c>
      <c r="H146" s="302">
        <v>0.13600736067035035</v>
      </c>
      <c r="I146" s="302">
        <v>0.13236762445684813</v>
      </c>
      <c r="J146" s="302">
        <v>0.13297312861390709</v>
      </c>
      <c r="K146" s="302">
        <v>0.13468668262140809</v>
      </c>
      <c r="L146" s="302">
        <v>0.12275060300380718</v>
      </c>
      <c r="M146" s="302">
        <v>0.11608015953735798</v>
      </c>
      <c r="N146" s="302">
        <v>0.11594385411251527</v>
      </c>
      <c r="O146" s="302">
        <v>0.11661845350683388</v>
      </c>
      <c r="P146" s="302">
        <v>0.11812286787815972</v>
      </c>
      <c r="Q146" s="302">
        <v>0.12008784247765601</v>
      </c>
      <c r="R146" s="302">
        <v>0.122052817077152</v>
      </c>
      <c r="S146" s="302">
        <v>1.12205281707715</v>
      </c>
    </row>
    <row r="147" spans="1:19" ht="15">
      <c r="A147" s="1"/>
      <c r="B147" s="1"/>
      <c r="C147" s="1"/>
      <c r="D147" s="1"/>
      <c r="E147" s="1"/>
      <c r="F147" s="292"/>
      <c r="G147" s="292"/>
      <c r="H147" s="292"/>
      <c r="I147" s="299"/>
      <c r="J147" s="299"/>
      <c r="K147" s="299"/>
      <c r="L147" s="299"/>
      <c r="M147" s="299"/>
      <c r="N147" s="299"/>
      <c r="O147" s="299"/>
      <c r="P147" s="299"/>
      <c r="Q147" s="299"/>
      <c r="R147" s="299"/>
      <c r="S147" s="299"/>
    </row>
    <row r="148" spans="1:19" ht="15">
      <c r="A148" s="1"/>
      <c r="B148" s="1"/>
      <c r="C148" s="1"/>
      <c r="D148" s="1"/>
      <c r="E148" s="1"/>
      <c r="F148" s="292"/>
      <c r="G148" s="292"/>
      <c r="H148" s="292"/>
      <c r="I148" s="292"/>
      <c r="J148" s="292"/>
      <c r="K148" s="292"/>
      <c r="L148" s="292"/>
      <c r="M148" s="292"/>
      <c r="N148" s="292"/>
      <c r="O148" s="292"/>
      <c r="P148" s="292"/>
      <c r="Q148" s="292"/>
      <c r="R148" s="292"/>
      <c r="S148" s="292"/>
    </row>
    <row r="149" spans="1:19" ht="15">
      <c r="A149" s="1">
        <v>1</v>
      </c>
      <c r="B149" s="1" t="s">
        <v>258</v>
      </c>
      <c r="C149" s="1"/>
      <c r="D149" s="1"/>
      <c r="E149" s="1"/>
      <c r="F149" s="292"/>
      <c r="G149" s="292"/>
      <c r="H149" s="292"/>
      <c r="I149" s="292"/>
      <c r="J149" s="292"/>
      <c r="K149" s="292"/>
      <c r="L149" s="292"/>
      <c r="M149" s="292"/>
      <c r="N149" s="292"/>
      <c r="O149" s="292"/>
      <c r="P149" s="292"/>
      <c r="Q149" s="292"/>
      <c r="R149" s="292"/>
      <c r="S149" s="292"/>
    </row>
    <row r="150" spans="1:19" ht="15">
      <c r="A150" s="1">
        <v>2</v>
      </c>
      <c r="B150" s="1" t="s">
        <v>259</v>
      </c>
      <c r="C150" s="1"/>
      <c r="D150" s="1"/>
      <c r="E150" s="1"/>
      <c r="F150" s="292"/>
      <c r="G150" s="292"/>
      <c r="H150" s="292"/>
      <c r="I150" s="292"/>
      <c r="J150" s="292"/>
      <c r="K150" s="292"/>
      <c r="L150" s="292"/>
      <c r="M150" s="292"/>
      <c r="N150" s="292"/>
      <c r="O150" s="292"/>
      <c r="P150" s="292"/>
      <c r="Q150" s="292"/>
      <c r="R150" s="292"/>
      <c r="S150" s="292"/>
    </row>
    <row r="151" spans="1:19" ht="15">
      <c r="A151" s="1">
        <v>3</v>
      </c>
      <c r="B151" s="1" t="s">
        <v>260</v>
      </c>
      <c r="C151" s="1"/>
      <c r="D151" s="1"/>
      <c r="E151" s="1"/>
      <c r="F151" s="292"/>
      <c r="G151" s="292"/>
      <c r="H151" s="292"/>
      <c r="I151" s="292"/>
      <c r="J151" s="292"/>
      <c r="K151" s="292"/>
      <c r="L151" s="292"/>
      <c r="M151" s="292"/>
      <c r="N151" s="292"/>
      <c r="O151" s="292"/>
      <c r="P151" s="292"/>
      <c r="Q151" s="292"/>
      <c r="R151" s="292"/>
      <c r="S151" s="292"/>
    </row>
    <row r="152" spans="1:19" ht="15">
      <c r="A152" s="1"/>
      <c r="B152" s="1"/>
      <c r="C152" s="1"/>
      <c r="D152" s="1"/>
      <c r="E152" s="1"/>
      <c r="F152" s="292"/>
      <c r="G152" s="292"/>
      <c r="H152" s="292"/>
      <c r="I152" s="292"/>
      <c r="J152" s="292"/>
      <c r="K152" s="292"/>
      <c r="L152" s="292"/>
      <c r="M152" s="292"/>
      <c r="N152" s="292"/>
      <c r="O152" s="292"/>
      <c r="P152" s="292"/>
      <c r="Q152" s="292"/>
      <c r="R152" s="292"/>
      <c r="S152" s="292"/>
    </row>
    <row r="153" spans="1:19" ht="15">
      <c r="A153" s="1"/>
      <c r="B153" s="1"/>
      <c r="C153" s="1"/>
      <c r="D153" s="1"/>
      <c r="E153" s="1"/>
      <c r="F153" s="292"/>
      <c r="G153" s="292"/>
      <c r="H153" s="292"/>
      <c r="I153" s="292"/>
      <c r="J153" s="292"/>
      <c r="K153" s="292"/>
      <c r="L153" s="292"/>
      <c r="M153" s="292"/>
      <c r="N153" s="292"/>
      <c r="O153" s="292"/>
      <c r="P153" s="292"/>
      <c r="Q153" s="292"/>
      <c r="R153" s="292"/>
      <c r="S153" s="292"/>
    </row>
    <row r="154" spans="1:19" ht="15">
      <c r="A154" s="1"/>
      <c r="B154" s="1"/>
      <c r="C154" s="1"/>
      <c r="D154" s="1"/>
      <c r="E154" s="1"/>
      <c r="F154" s="292"/>
      <c r="G154" s="292"/>
      <c r="H154" s="292"/>
      <c r="I154" s="292"/>
      <c r="J154" s="292"/>
      <c r="K154" s="292"/>
      <c r="L154" s="292"/>
      <c r="M154" s="292"/>
      <c r="N154" s="292"/>
      <c r="O154" s="292"/>
      <c r="P154" s="292"/>
      <c r="Q154" s="292"/>
      <c r="R154" s="292"/>
      <c r="S154" s="292"/>
    </row>
    <row r="155" spans="1:19" ht="15">
      <c r="A155" s="1"/>
      <c r="B155" s="1"/>
      <c r="C155" s="1"/>
      <c r="D155" s="1"/>
      <c r="E155" s="1"/>
      <c r="F155" s="292"/>
      <c r="G155" s="292"/>
      <c r="H155" s="292"/>
      <c r="I155" s="292"/>
      <c r="J155" s="292"/>
      <c r="K155" s="292"/>
      <c r="L155" s="292"/>
      <c r="M155" s="292"/>
      <c r="N155" s="292"/>
      <c r="O155" s="292"/>
      <c r="P155" s="292"/>
      <c r="Q155" s="292"/>
      <c r="R155" s="292"/>
      <c r="S155" s="292"/>
    </row>
    <row r="156" spans="1:19" ht="15">
      <c r="A156" s="1"/>
      <c r="B156" s="1"/>
      <c r="C156" s="292"/>
      <c r="D156" s="292"/>
      <c r="E156" s="297"/>
      <c r="F156" s="292"/>
      <c r="G156" s="292"/>
      <c r="H156" s="292"/>
      <c r="I156" s="292"/>
      <c r="J156" s="292"/>
      <c r="K156" s="292"/>
      <c r="L156" s="292"/>
      <c r="M156" s="292"/>
      <c r="N156" s="292"/>
      <c r="O156" s="292"/>
      <c r="P156" s="292"/>
      <c r="Q156" s="292"/>
      <c r="R156" s="292"/>
      <c r="S156" s="292"/>
    </row>
    <row r="157" spans="1:19" ht="15">
      <c r="A157" s="1"/>
      <c r="B157" s="1"/>
      <c r="C157" s="292"/>
      <c r="D157" s="292"/>
      <c r="E157" s="297"/>
      <c r="F157" s="292"/>
      <c r="G157" s="292"/>
      <c r="H157" s="292"/>
      <c r="I157" s="292"/>
      <c r="J157" s="292"/>
      <c r="K157" s="292"/>
      <c r="L157" s="292"/>
      <c r="M157" s="292"/>
      <c r="N157" s="292"/>
      <c r="O157" s="292"/>
      <c r="P157" s="292"/>
      <c r="Q157" s="292"/>
      <c r="R157" s="292"/>
      <c r="S157" s="292"/>
    </row>
    <row r="158" spans="1:19" ht="15">
      <c r="A158" s="1"/>
      <c r="B158" s="1"/>
      <c r="C158" s="292"/>
      <c r="D158" s="292"/>
      <c r="E158" s="297"/>
      <c r="F158" s="292"/>
      <c r="G158" s="292"/>
      <c r="H158" s="292"/>
      <c r="I158" s="292"/>
      <c r="J158" s="292"/>
      <c r="K158" s="292"/>
      <c r="L158" s="292"/>
      <c r="M158" s="292"/>
      <c r="N158" s="292"/>
      <c r="O158" s="292"/>
      <c r="P158" s="292"/>
      <c r="Q158" s="292"/>
      <c r="R158" s="292"/>
      <c r="S158" s="292"/>
    </row>
    <row r="159" spans="1:19" ht="15">
      <c r="A159" s="1"/>
      <c r="B159" s="1"/>
      <c r="C159" s="292"/>
      <c r="D159" s="292"/>
      <c r="E159" s="297"/>
      <c r="F159" s="292"/>
      <c r="G159" s="292"/>
      <c r="H159" s="292"/>
      <c r="I159" s="292"/>
      <c r="J159" s="292"/>
      <c r="K159" s="292"/>
      <c r="L159" s="292"/>
      <c r="M159" s="292"/>
      <c r="N159" s="292"/>
      <c r="O159" s="292"/>
      <c r="P159" s="292"/>
      <c r="Q159" s="292"/>
      <c r="R159" s="292"/>
      <c r="S159" s="292"/>
    </row>
    <row r="160" spans="1:19" ht="15">
      <c r="A160" s="1"/>
      <c r="B160" s="1"/>
      <c r="C160" s="292"/>
      <c r="D160" s="292"/>
      <c r="E160" s="297"/>
      <c r="F160" s="292"/>
      <c r="G160" s="292"/>
      <c r="H160" s="292"/>
      <c r="I160" s="292"/>
      <c r="J160" s="292"/>
      <c r="K160" s="292"/>
      <c r="L160" s="292"/>
      <c r="M160" s="292"/>
      <c r="N160" s="292"/>
      <c r="O160" s="292"/>
      <c r="P160" s="292"/>
      <c r="Q160" s="292"/>
      <c r="R160" s="292"/>
      <c r="S160" s="292"/>
    </row>
    <row r="161" spans="1:19" ht="15">
      <c r="A161" s="1"/>
      <c r="B161" s="1"/>
      <c r="C161" s="292"/>
      <c r="D161" s="292"/>
      <c r="E161" s="297"/>
      <c r="F161" s="292"/>
      <c r="G161" s="292"/>
      <c r="H161" s="292"/>
      <c r="I161" s="292"/>
      <c r="J161" s="292"/>
      <c r="K161" s="292"/>
      <c r="L161" s="292"/>
      <c r="M161" s="292"/>
      <c r="N161" s="292"/>
      <c r="O161" s="292"/>
      <c r="P161" s="292"/>
      <c r="Q161" s="292"/>
      <c r="R161" s="292"/>
      <c r="S161" s="292"/>
    </row>
    <row r="162" spans="1:19" ht="15">
      <c r="A162" s="1"/>
      <c r="B162" s="1"/>
      <c r="C162" s="292"/>
      <c r="D162" s="292"/>
      <c r="E162" s="297"/>
      <c r="F162" s="292"/>
      <c r="G162" s="292"/>
      <c r="H162" s="292"/>
      <c r="I162" s="292"/>
      <c r="J162" s="292"/>
      <c r="K162" s="292"/>
      <c r="L162" s="292"/>
      <c r="M162" s="292"/>
      <c r="N162" s="292"/>
      <c r="O162" s="292"/>
      <c r="P162" s="292"/>
      <c r="Q162" s="292"/>
      <c r="R162" s="292"/>
      <c r="S162" s="292"/>
    </row>
    <row r="163" spans="1:19" ht="15">
      <c r="A163" s="1"/>
      <c r="B163" s="1"/>
      <c r="C163" s="292"/>
      <c r="D163" s="292"/>
      <c r="E163" s="297"/>
      <c r="F163" s="292"/>
      <c r="G163" s="292"/>
      <c r="H163" s="292"/>
      <c r="I163" s="292"/>
      <c r="J163" s="292"/>
      <c r="K163" s="292"/>
      <c r="L163" s="292"/>
      <c r="M163" s="292"/>
      <c r="N163" s="292"/>
      <c r="O163" s="292"/>
      <c r="P163" s="292"/>
      <c r="Q163" s="292"/>
      <c r="R163" s="292"/>
      <c r="S163" s="292"/>
    </row>
    <row r="164" spans="1:19" ht="15">
      <c r="A164" s="1"/>
      <c r="B164" s="1"/>
      <c r="C164" s="292"/>
      <c r="D164" s="292"/>
      <c r="E164" s="297"/>
      <c r="F164" s="292"/>
      <c r="G164" s="292"/>
      <c r="H164" s="292"/>
      <c r="I164" s="292"/>
      <c r="J164" s="292"/>
      <c r="K164" s="292"/>
      <c r="L164" s="292"/>
      <c r="M164" s="292"/>
      <c r="N164" s="292"/>
      <c r="O164" s="292"/>
      <c r="P164" s="292"/>
      <c r="Q164" s="292"/>
      <c r="R164" s="292"/>
      <c r="S164" s="292"/>
    </row>
    <row r="165" spans="1:19" ht="15">
      <c r="A165" s="1"/>
      <c r="B165" s="1"/>
      <c r="C165" s="292"/>
      <c r="D165" s="292"/>
      <c r="E165" s="297"/>
      <c r="F165" s="292"/>
      <c r="G165" s="292"/>
      <c r="H165" s="292"/>
      <c r="I165" s="292"/>
      <c r="J165" s="292"/>
      <c r="K165" s="292"/>
      <c r="L165" s="292"/>
      <c r="M165" s="292"/>
      <c r="N165" s="292"/>
      <c r="O165" s="292"/>
      <c r="P165" s="292"/>
      <c r="Q165" s="292"/>
      <c r="R165" s="292"/>
      <c r="S165" s="292"/>
    </row>
    <row r="166" spans="1:19" ht="15">
      <c r="A166" s="1"/>
      <c r="B166" s="1"/>
      <c r="C166" s="292"/>
      <c r="D166" s="292"/>
      <c r="E166" s="297"/>
      <c r="F166" s="292"/>
      <c r="G166" s="292"/>
      <c r="H166" s="292"/>
      <c r="I166" s="292"/>
      <c r="J166" s="292"/>
      <c r="K166" s="292"/>
      <c r="L166" s="292"/>
      <c r="M166" s="292"/>
      <c r="N166" s="292"/>
      <c r="O166" s="292"/>
      <c r="P166" s="292"/>
      <c r="Q166" s="292"/>
      <c r="R166" s="292"/>
      <c r="S166" s="292"/>
    </row>
    <row r="167" spans="1:19" ht="15">
      <c r="A167" s="1"/>
      <c r="B167" s="1"/>
      <c r="C167" s="292"/>
      <c r="D167" s="292"/>
      <c r="E167" s="297"/>
      <c r="F167" s="292"/>
      <c r="G167" s="292"/>
      <c r="H167" s="292"/>
      <c r="I167" s="292"/>
      <c r="J167" s="292"/>
      <c r="K167" s="292"/>
      <c r="L167" s="292"/>
      <c r="M167" s="292"/>
      <c r="N167" s="292"/>
      <c r="O167" s="292"/>
      <c r="P167" s="292"/>
      <c r="Q167" s="292"/>
      <c r="R167" s="292"/>
      <c r="S167" s="292"/>
    </row>
    <row r="168" spans="1:19" ht="15">
      <c r="A168" s="1"/>
      <c r="B168" s="1"/>
      <c r="C168" s="292"/>
      <c r="D168" s="292"/>
      <c r="E168" s="297"/>
      <c r="F168" s="292"/>
      <c r="G168" s="292"/>
      <c r="H168" s="292"/>
      <c r="I168" s="292"/>
      <c r="J168" s="292"/>
      <c r="K168" s="292"/>
      <c r="L168" s="292"/>
      <c r="M168" s="292"/>
      <c r="N168" s="292"/>
      <c r="O168" s="292"/>
      <c r="P168" s="292"/>
      <c r="Q168" s="292"/>
      <c r="R168" s="292"/>
      <c r="S168" s="292"/>
    </row>
    <row r="169" spans="1:19" ht="15">
      <c r="A169" s="1"/>
      <c r="B169" s="1"/>
      <c r="C169" s="292"/>
      <c r="D169" s="292"/>
      <c r="E169" s="297"/>
      <c r="F169" s="292"/>
      <c r="G169" s="292"/>
      <c r="H169" s="292"/>
      <c r="I169" s="292"/>
      <c r="J169" s="292"/>
      <c r="K169" s="292"/>
      <c r="L169" s="292"/>
      <c r="M169" s="292"/>
      <c r="N169" s="292"/>
      <c r="O169" s="292"/>
      <c r="P169" s="292"/>
      <c r="Q169" s="292"/>
      <c r="R169" s="292"/>
      <c r="S169" s="292"/>
    </row>
    <row r="170" spans="1:19" ht="15">
      <c r="A170" s="1"/>
      <c r="B170" s="1"/>
      <c r="C170" s="292"/>
      <c r="D170" s="292"/>
      <c r="E170" s="297"/>
      <c r="F170" s="292"/>
      <c r="G170" s="292"/>
      <c r="H170" s="292"/>
      <c r="I170" s="292"/>
      <c r="J170" s="292"/>
      <c r="K170" s="292"/>
      <c r="L170" s="292"/>
      <c r="M170" s="292"/>
      <c r="N170" s="292"/>
      <c r="O170" s="292"/>
      <c r="P170" s="292"/>
      <c r="Q170" s="292"/>
      <c r="R170" s="292"/>
      <c r="S170" s="292"/>
    </row>
    <row r="171" spans="1:19" ht="15">
      <c r="A171" s="1"/>
      <c r="B171" s="1"/>
      <c r="C171" s="292"/>
      <c r="D171" s="292"/>
      <c r="E171" s="297"/>
      <c r="F171" s="292"/>
      <c r="G171" s="292"/>
      <c r="H171" s="292"/>
      <c r="I171" s="292"/>
      <c r="J171" s="292"/>
      <c r="K171" s="292"/>
      <c r="L171" s="292"/>
      <c r="M171" s="292"/>
      <c r="N171" s="292"/>
      <c r="O171" s="292"/>
      <c r="P171" s="292"/>
      <c r="Q171" s="292"/>
      <c r="R171" s="292"/>
      <c r="S171" s="292"/>
    </row>
    <row r="172" spans="1:19" ht="15">
      <c r="A172" s="1"/>
      <c r="B172" s="1"/>
      <c r="C172" s="292"/>
      <c r="D172" s="292"/>
      <c r="E172" s="297"/>
      <c r="F172" s="292"/>
      <c r="G172" s="292"/>
      <c r="H172" s="292"/>
      <c r="I172" s="292"/>
      <c r="J172" s="292"/>
      <c r="K172" s="292"/>
      <c r="L172" s="292"/>
      <c r="M172" s="292"/>
      <c r="N172" s="292"/>
      <c r="O172" s="292"/>
      <c r="P172" s="292"/>
      <c r="Q172" s="292"/>
      <c r="R172" s="292"/>
      <c r="S172" s="292"/>
    </row>
    <row r="173" spans="1:19" ht="15">
      <c r="A173" s="1"/>
      <c r="B173" s="1"/>
      <c r="C173" s="292"/>
      <c r="D173" s="292"/>
      <c r="E173" s="297"/>
      <c r="F173" s="292"/>
      <c r="G173" s="292"/>
      <c r="H173" s="292"/>
      <c r="I173" s="292"/>
      <c r="J173" s="292"/>
      <c r="K173" s="292"/>
      <c r="L173" s="292"/>
      <c r="M173" s="292"/>
      <c r="N173" s="292"/>
      <c r="O173" s="292"/>
      <c r="P173" s="292"/>
      <c r="Q173" s="292"/>
      <c r="R173" s="292"/>
      <c r="S173" s="292"/>
    </row>
    <row r="174" spans="1:19" ht="15">
      <c r="A174" s="1"/>
      <c r="B174" s="1"/>
      <c r="C174" s="292"/>
      <c r="D174" s="292"/>
      <c r="E174" s="297"/>
      <c r="F174" s="292"/>
      <c r="G174" s="292"/>
      <c r="H174" s="292"/>
      <c r="I174" s="292"/>
      <c r="J174" s="292"/>
      <c r="K174" s="292"/>
      <c r="L174" s="292"/>
      <c r="M174" s="292"/>
      <c r="N174" s="292"/>
      <c r="O174" s="292"/>
      <c r="P174" s="292"/>
      <c r="Q174" s="292"/>
      <c r="R174" s="292"/>
      <c r="S174" s="292"/>
    </row>
    <row r="175" spans="1:19" ht="15">
      <c r="A175" s="1"/>
      <c r="B175" s="1"/>
      <c r="C175" s="292"/>
      <c r="D175" s="292"/>
      <c r="E175" s="297"/>
      <c r="F175" s="292"/>
      <c r="G175" s="292"/>
      <c r="H175" s="292"/>
      <c r="I175" s="292"/>
      <c r="J175" s="292"/>
      <c r="K175" s="292"/>
      <c r="L175" s="292"/>
      <c r="M175" s="292"/>
      <c r="N175" s="292"/>
      <c r="O175" s="292"/>
      <c r="P175" s="292"/>
      <c r="Q175" s="292"/>
      <c r="R175" s="292"/>
      <c r="S175" s="292"/>
    </row>
    <row r="176" spans="1:19" ht="15">
      <c r="A176" s="1"/>
      <c r="B176" s="1"/>
      <c r="C176" s="292"/>
      <c r="D176" s="292"/>
      <c r="E176" s="297"/>
      <c r="F176" s="292"/>
      <c r="G176" s="292"/>
      <c r="H176" s="292"/>
      <c r="I176" s="292"/>
      <c r="J176" s="292"/>
      <c r="K176" s="292"/>
      <c r="L176" s="292"/>
      <c r="M176" s="292"/>
      <c r="N176" s="292"/>
      <c r="O176" s="292"/>
      <c r="P176" s="292"/>
      <c r="Q176" s="292"/>
      <c r="R176" s="292"/>
      <c r="S176" s="292"/>
    </row>
    <row r="177" spans="1:19" ht="15">
      <c r="A177" s="1"/>
      <c r="B177" s="1"/>
      <c r="C177" s="292"/>
      <c r="D177" s="292"/>
      <c r="E177" s="297"/>
      <c r="F177" s="292"/>
      <c r="G177" s="292"/>
      <c r="H177" s="292"/>
      <c r="I177" s="292"/>
      <c r="J177" s="292"/>
      <c r="K177" s="292"/>
      <c r="L177" s="292"/>
      <c r="M177" s="292"/>
      <c r="N177" s="292"/>
      <c r="O177" s="292"/>
      <c r="P177" s="292"/>
      <c r="Q177" s="292"/>
      <c r="R177" s="292"/>
      <c r="S177" s="292"/>
    </row>
    <row r="178" spans="1:19" ht="15">
      <c r="A178" s="1"/>
      <c r="B178" s="1"/>
      <c r="C178" s="292"/>
      <c r="D178" s="292"/>
      <c r="E178" s="297"/>
      <c r="F178" s="292"/>
      <c r="G178" s="292"/>
      <c r="H178" s="292"/>
      <c r="I178" s="292"/>
      <c r="J178" s="292"/>
      <c r="K178" s="292"/>
      <c r="L178" s="292"/>
      <c r="M178" s="292"/>
      <c r="N178" s="292"/>
      <c r="O178" s="292"/>
      <c r="P178" s="292"/>
      <c r="Q178" s="292"/>
      <c r="R178" s="292"/>
      <c r="S178" s="292"/>
    </row>
    <row r="179" spans="1:19" ht="15">
      <c r="A179" s="1"/>
      <c r="B179" s="1"/>
      <c r="C179" s="292"/>
      <c r="D179" s="292"/>
      <c r="E179" s="297"/>
      <c r="F179" s="292"/>
      <c r="G179" s="292"/>
      <c r="H179" s="292"/>
      <c r="I179" s="292"/>
      <c r="J179" s="292"/>
      <c r="K179" s="292"/>
      <c r="L179" s="292"/>
      <c r="M179" s="292"/>
      <c r="N179" s="292"/>
      <c r="O179" s="292"/>
      <c r="P179" s="292"/>
      <c r="Q179" s="292"/>
      <c r="R179" s="292"/>
      <c r="S179" s="292"/>
    </row>
    <row r="180" spans="1:19" ht="15">
      <c r="A180" s="1"/>
      <c r="B180" s="1"/>
      <c r="C180" s="292"/>
      <c r="D180" s="292"/>
      <c r="E180" s="297"/>
      <c r="F180" s="292"/>
      <c r="G180" s="292"/>
      <c r="H180" s="292"/>
      <c r="I180" s="292"/>
      <c r="J180" s="292"/>
      <c r="K180" s="292"/>
      <c r="L180" s="292"/>
      <c r="M180" s="292"/>
      <c r="N180" s="292"/>
      <c r="O180" s="292"/>
      <c r="P180" s="292"/>
      <c r="Q180" s="292"/>
      <c r="R180" s="292"/>
      <c r="S180" s="292"/>
    </row>
    <row r="181" spans="1:19" ht="15">
      <c r="A181" s="1"/>
      <c r="B181" s="1"/>
      <c r="C181" s="292"/>
      <c r="D181" s="292"/>
      <c r="E181" s="297"/>
      <c r="F181" s="292"/>
      <c r="G181" s="292"/>
      <c r="H181" s="292"/>
      <c r="I181" s="292"/>
      <c r="J181" s="292"/>
      <c r="K181" s="292"/>
      <c r="L181" s="292"/>
      <c r="M181" s="292"/>
      <c r="N181" s="292"/>
      <c r="O181" s="292"/>
      <c r="P181" s="292"/>
      <c r="Q181" s="292"/>
      <c r="R181" s="292"/>
      <c r="S181" s="292"/>
    </row>
    <row r="182" spans="1:19" ht="15">
      <c r="A182" s="1"/>
      <c r="B182" s="1"/>
      <c r="C182" s="292"/>
      <c r="D182" s="292"/>
      <c r="E182" s="297"/>
      <c r="F182" s="292"/>
      <c r="G182" s="292"/>
      <c r="H182" s="292"/>
      <c r="I182" s="292"/>
      <c r="J182" s="292"/>
      <c r="K182" s="292"/>
      <c r="L182" s="292"/>
      <c r="M182" s="292"/>
      <c r="N182" s="292"/>
      <c r="O182" s="292"/>
      <c r="P182" s="292"/>
      <c r="Q182" s="292"/>
      <c r="R182" s="292"/>
      <c r="S182" s="292"/>
    </row>
    <row r="183" spans="1:19" ht="15">
      <c r="A183" s="1"/>
      <c r="B183" s="1"/>
      <c r="C183" s="292"/>
      <c r="D183" s="292"/>
      <c r="E183" s="297"/>
      <c r="F183" s="292"/>
      <c r="G183" s="292"/>
      <c r="H183" s="292"/>
      <c r="I183" s="292"/>
      <c r="J183" s="292"/>
      <c r="K183" s="292"/>
      <c r="L183" s="292"/>
      <c r="M183" s="292"/>
      <c r="N183" s="292"/>
      <c r="O183" s="292"/>
      <c r="P183" s="292"/>
      <c r="Q183" s="292"/>
      <c r="R183" s="292"/>
      <c r="S183" s="292"/>
    </row>
    <row r="184" spans="1:19" ht="15">
      <c r="A184" s="1"/>
      <c r="B184" s="1"/>
      <c r="C184" s="292"/>
      <c r="D184" s="292"/>
      <c r="E184" s="297"/>
      <c r="F184" s="292"/>
      <c r="G184" s="292"/>
      <c r="H184" s="292"/>
      <c r="I184" s="292"/>
      <c r="J184" s="292"/>
      <c r="K184" s="292"/>
      <c r="L184" s="292"/>
      <c r="M184" s="292"/>
      <c r="N184" s="292"/>
      <c r="O184" s="292"/>
      <c r="P184" s="292"/>
      <c r="Q184" s="292"/>
      <c r="R184" s="292"/>
      <c r="S184" s="292"/>
    </row>
    <row r="185" spans="1:19" ht="15">
      <c r="A185" s="1"/>
      <c r="B185" s="1"/>
      <c r="C185" s="292"/>
      <c r="D185" s="292"/>
      <c r="E185" s="297"/>
      <c r="F185" s="292"/>
      <c r="G185" s="292"/>
      <c r="H185" s="292"/>
      <c r="I185" s="292"/>
      <c r="J185" s="292"/>
      <c r="K185" s="292"/>
      <c r="L185" s="292"/>
      <c r="M185" s="292"/>
      <c r="N185" s="292"/>
      <c r="O185" s="292"/>
      <c r="P185" s="292"/>
      <c r="Q185" s="292"/>
      <c r="R185" s="292"/>
      <c r="S185" s="292"/>
    </row>
    <row r="186" spans="1:19" ht="15">
      <c r="A186" s="1"/>
      <c r="B186" s="1"/>
      <c r="C186" s="292"/>
      <c r="D186" s="292"/>
      <c r="E186" s="297"/>
      <c r="F186" s="292"/>
      <c r="G186" s="292"/>
      <c r="H186" s="292"/>
      <c r="I186" s="292"/>
      <c r="J186" s="292"/>
      <c r="K186" s="292"/>
      <c r="L186" s="292"/>
      <c r="M186" s="292"/>
      <c r="N186" s="292"/>
      <c r="O186" s="292"/>
      <c r="P186" s="292"/>
      <c r="Q186" s="292"/>
      <c r="R186" s="292"/>
      <c r="S186" s="292"/>
    </row>
    <row r="187" spans="1:19" ht="15">
      <c r="A187" s="1"/>
      <c r="B187" s="1"/>
      <c r="C187" s="292"/>
      <c r="D187" s="292"/>
      <c r="E187" s="297"/>
      <c r="F187" s="292"/>
      <c r="G187" s="292"/>
      <c r="H187" s="292"/>
      <c r="I187" s="292"/>
      <c r="J187" s="292"/>
      <c r="K187" s="292"/>
      <c r="L187" s="292"/>
      <c r="M187" s="292"/>
      <c r="N187" s="292"/>
      <c r="O187" s="292"/>
      <c r="P187" s="292"/>
      <c r="Q187" s="292"/>
      <c r="R187" s="292"/>
      <c r="S187" s="292"/>
    </row>
    <row r="188" spans="1:19" ht="15">
      <c r="A188" s="1"/>
      <c r="B188" s="1"/>
      <c r="C188" s="292"/>
      <c r="D188" s="292"/>
      <c r="E188" s="297"/>
      <c r="F188" s="292"/>
      <c r="G188" s="292"/>
      <c r="H188" s="292"/>
      <c r="I188" s="292"/>
      <c r="J188" s="292"/>
      <c r="K188" s="292"/>
      <c r="L188" s="292"/>
      <c r="M188" s="292"/>
      <c r="N188" s="292"/>
      <c r="O188" s="292"/>
      <c r="P188" s="292"/>
      <c r="Q188" s="292"/>
      <c r="R188" s="292"/>
      <c r="S188" s="292"/>
    </row>
    <row r="189" spans="1:19" ht="15">
      <c r="A189" s="1"/>
      <c r="B189" s="1"/>
      <c r="C189" s="292"/>
      <c r="D189" s="292"/>
      <c r="E189" s="297"/>
      <c r="F189" s="292"/>
      <c r="G189" s="292"/>
      <c r="H189" s="292"/>
      <c r="I189" s="292"/>
      <c r="J189" s="292"/>
      <c r="K189" s="292"/>
      <c r="L189" s="292"/>
      <c r="M189" s="292"/>
      <c r="N189" s="292"/>
      <c r="O189" s="292"/>
      <c r="P189" s="292"/>
      <c r="Q189" s="292"/>
      <c r="R189" s="292"/>
      <c r="S189" s="292"/>
    </row>
    <row r="190" spans="1:19" ht="15">
      <c r="A190" s="1"/>
      <c r="B190" s="1"/>
      <c r="C190" s="292"/>
      <c r="D190" s="292"/>
      <c r="E190" s="297"/>
      <c r="F190" s="292"/>
      <c r="G190" s="292"/>
      <c r="H190" s="292"/>
      <c r="I190" s="292"/>
      <c r="J190" s="292"/>
      <c r="K190" s="292"/>
      <c r="L190" s="292"/>
      <c r="M190" s="292"/>
      <c r="N190" s="292"/>
      <c r="O190" s="292"/>
      <c r="P190" s="292"/>
      <c r="Q190" s="292"/>
      <c r="R190" s="292"/>
      <c r="S190" s="292"/>
    </row>
    <row r="191" spans="1:19" ht="15">
      <c r="A191" s="1"/>
      <c r="B191" s="1"/>
      <c r="C191" s="292"/>
      <c r="D191" s="292"/>
      <c r="E191" s="297"/>
      <c r="F191" s="292"/>
      <c r="G191" s="292"/>
      <c r="H191" s="292"/>
      <c r="I191" s="292"/>
      <c r="J191" s="292"/>
      <c r="K191" s="292"/>
      <c r="L191" s="292"/>
      <c r="M191" s="292"/>
      <c r="N191" s="292"/>
      <c r="O191" s="292"/>
      <c r="P191" s="292"/>
      <c r="Q191" s="292"/>
      <c r="R191" s="292"/>
      <c r="S191" s="292"/>
    </row>
    <row r="192" spans="1:19" ht="15">
      <c r="A192" s="1"/>
      <c r="B192" s="1"/>
      <c r="C192" s="292"/>
      <c r="D192" s="292"/>
      <c r="E192" s="297"/>
      <c r="F192" s="292"/>
      <c r="G192" s="292"/>
      <c r="H192" s="292"/>
      <c r="I192" s="292"/>
      <c r="J192" s="292"/>
      <c r="K192" s="292"/>
      <c r="L192" s="292"/>
      <c r="M192" s="292"/>
      <c r="N192" s="292"/>
      <c r="O192" s="292"/>
      <c r="P192" s="292"/>
      <c r="Q192" s="292"/>
      <c r="R192" s="292"/>
      <c r="S192" s="292"/>
    </row>
    <row r="193" spans="1:19" ht="15">
      <c r="A193" s="1"/>
      <c r="B193" s="1"/>
      <c r="C193" s="292"/>
      <c r="D193" s="292"/>
      <c r="E193" s="297"/>
      <c r="F193" s="292"/>
      <c r="G193" s="292"/>
      <c r="H193" s="292"/>
      <c r="I193" s="292"/>
      <c r="J193" s="292"/>
      <c r="K193" s="292"/>
      <c r="L193" s="292"/>
      <c r="M193" s="292"/>
      <c r="N193" s="292"/>
      <c r="O193" s="292"/>
      <c r="P193" s="292"/>
      <c r="Q193" s="292"/>
      <c r="R193" s="292"/>
      <c r="S193" s="292"/>
    </row>
    <row r="194" spans="1:19" ht="15">
      <c r="A194" s="1"/>
      <c r="B194" s="1"/>
      <c r="C194" s="292"/>
      <c r="D194" s="292"/>
      <c r="E194" s="297"/>
      <c r="F194" s="292"/>
      <c r="G194" s="292"/>
      <c r="H194" s="292"/>
      <c r="I194" s="292"/>
      <c r="J194" s="292"/>
      <c r="K194" s="292"/>
      <c r="L194" s="292"/>
      <c r="M194" s="292"/>
      <c r="N194" s="292"/>
      <c r="O194" s="292"/>
      <c r="P194" s="292"/>
      <c r="Q194" s="292"/>
      <c r="R194" s="292"/>
      <c r="S194" s="292"/>
    </row>
    <row r="195" spans="1:19" ht="15">
      <c r="A195" s="1"/>
      <c r="B195" s="1"/>
      <c r="C195" s="292"/>
      <c r="D195" s="292"/>
      <c r="E195" s="297"/>
      <c r="F195" s="292"/>
      <c r="G195" s="292"/>
      <c r="H195" s="292"/>
      <c r="I195" s="292"/>
      <c r="J195" s="292"/>
      <c r="K195" s="292"/>
      <c r="L195" s="292"/>
      <c r="M195" s="292"/>
      <c r="N195" s="292"/>
      <c r="O195" s="292"/>
      <c r="P195" s="292"/>
      <c r="Q195" s="292"/>
      <c r="R195" s="292"/>
      <c r="S195" s="292"/>
    </row>
    <row r="196" spans="1:19" ht="15">
      <c r="A196" s="1"/>
      <c r="B196" s="1"/>
      <c r="C196" s="292"/>
      <c r="D196" s="292"/>
      <c r="E196" s="297"/>
      <c r="F196" s="292"/>
      <c r="G196" s="292"/>
      <c r="H196" s="292"/>
      <c r="I196" s="292"/>
      <c r="J196" s="292"/>
      <c r="K196" s="292"/>
      <c r="L196" s="292"/>
      <c r="M196" s="292"/>
      <c r="N196" s="292"/>
      <c r="O196" s="292"/>
      <c r="P196" s="292"/>
      <c r="Q196" s="292"/>
      <c r="R196" s="292"/>
      <c r="S196" s="292"/>
    </row>
  </sheetData>
  <mergeCells count="1">
    <mergeCell ref="K4:Q11"/>
  </mergeCells>
  <dataValidations count="5">
    <dataValidation type="custom" allowBlank="1" showInputMessage="1" showErrorMessage="1" sqref="B53:D53">
      <formula1>B53&lt;J51</formula1>
    </dataValidation>
    <dataValidation type="custom" allowBlank="1" showInputMessage="1" showErrorMessage="1" sqref="E53">
      <formula1>E53&lt;#REF!</formula1>
    </dataValidation>
    <dataValidation type="custom" allowBlank="1" showInputMessage="1" showErrorMessage="1" sqref="F53:K53">
      <formula1>F53&lt;L51</formula1>
    </dataValidation>
    <dataValidation type="custom" allowBlank="1" showInputMessage="1" showErrorMessage="1" sqref="N53:S53">
      <formula1>N53&lt;R51</formula1>
    </dataValidation>
    <dataValidation type="custom" allowBlank="1" showInputMessage="1" showErrorMessage="1" sqref="L53:M53">
      <formula1>L53&lt;#REF!</formula1>
    </dataValidation>
  </dataValidations>
  <pageMargins left="0.18" right="0.26" top="0.38" bottom="0.24" header="0.31" footer="0.17"/>
  <pageSetup paperSize="9" scale="50" orientation="portrait" horizontalDpi="300"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rgb="FF92D050"/>
  </sheetPr>
  <dimension ref="A1:AD1033"/>
  <sheetViews>
    <sheetView showGridLines="0" tabSelected="1" zoomScale="90" zoomScaleNormal="90" workbookViewId="0">
      <pane xSplit="1" ySplit="8" topLeftCell="B99" activePane="bottomRight" state="frozen"/>
      <selection pane="topRight" activeCell="B1" sqref="B1"/>
      <selection pane="bottomLeft" activeCell="A9" sqref="A9"/>
      <selection pane="bottomRight" activeCell="K11" sqref="K11"/>
    </sheetView>
  </sheetViews>
  <sheetFormatPr defaultRowHeight="15" outlineLevelRow="2"/>
  <cols>
    <col min="1" max="1" width="49.85546875" style="1" customWidth="1"/>
    <col min="2" max="2" width="9.7109375" style="1" customWidth="1"/>
    <col min="3" max="6" width="11.42578125" style="261" customWidth="1"/>
    <col min="7" max="15" width="11.42578125" style="1" customWidth="1"/>
    <col min="16" max="16" width="72" style="1" customWidth="1"/>
    <col min="17" max="17" width="11.140625" customWidth="1"/>
    <col min="18" max="19" width="11.140625" style="303" customWidth="1"/>
    <col min="20" max="20" width="12.5703125" style="303" customWidth="1"/>
    <col min="21" max="21" width="12.5703125" style="1" customWidth="1"/>
    <col min="22" max="22" width="16.28515625" style="1" customWidth="1"/>
    <col min="23" max="23" width="15.85546875" style="1" customWidth="1"/>
    <col min="24" max="24" width="13.5703125" style="1" customWidth="1"/>
    <col min="25" max="25" width="9.140625" style="1"/>
    <col min="26" max="26" width="12.7109375" style="1" bestFit="1" customWidth="1"/>
    <col min="27" max="27" width="9.28515625" style="1" bestFit="1" customWidth="1"/>
    <col min="28" max="28" width="19.28515625" style="1" customWidth="1"/>
    <col min="29" max="16384" width="9.140625" style="1"/>
  </cols>
  <sheetData>
    <row r="1" spans="1:29" ht="30.75" customHeight="1">
      <c r="A1" s="147" t="s">
        <v>201</v>
      </c>
      <c r="B1" s="148">
        <v>2009</v>
      </c>
      <c r="C1" s="148">
        <v>2010</v>
      </c>
      <c r="D1" s="148">
        <v>2011</v>
      </c>
      <c r="E1" s="148">
        <v>2012</v>
      </c>
      <c r="F1" s="148">
        <v>2013</v>
      </c>
      <c r="G1" s="148">
        <v>2014</v>
      </c>
      <c r="H1" s="148">
        <v>2015</v>
      </c>
      <c r="I1" s="148">
        <v>2016</v>
      </c>
      <c r="J1" s="148">
        <v>2017</v>
      </c>
      <c r="K1" s="149">
        <f>J1+1</f>
        <v>2018</v>
      </c>
      <c r="L1" s="149">
        <f t="shared" ref="L1:O1" si="0">K1+1</f>
        <v>2019</v>
      </c>
      <c r="M1" s="149">
        <f t="shared" si="0"/>
        <v>2020</v>
      </c>
      <c r="N1" s="149">
        <f t="shared" si="0"/>
        <v>2021</v>
      </c>
      <c r="O1" s="149">
        <f t="shared" si="0"/>
        <v>2022</v>
      </c>
      <c r="P1" s="150" t="s">
        <v>99</v>
      </c>
      <c r="R1" s="396"/>
      <c r="S1" s="396"/>
      <c r="T1" s="396">
        <v>42915</v>
      </c>
      <c r="U1" s="396">
        <v>42948</v>
      </c>
      <c r="V1" s="151"/>
      <c r="W1" s="151"/>
      <c r="X1" s="151"/>
      <c r="Y1" s="151"/>
      <c r="Z1" s="151"/>
      <c r="AA1" s="151"/>
      <c r="AB1" s="151"/>
      <c r="AC1" s="151"/>
    </row>
    <row r="2" spans="1:29" ht="15.75" hidden="1">
      <c r="A2" s="152" t="s">
        <v>100</v>
      </c>
      <c r="B2" s="152"/>
      <c r="C2" s="153"/>
      <c r="D2" s="153"/>
      <c r="E2" s="153"/>
      <c r="F2" s="154">
        <f ca="1">TODAY()</f>
        <v>43187</v>
      </c>
      <c r="G2" s="154">
        <v>42004</v>
      </c>
      <c r="H2" s="154">
        <v>42369</v>
      </c>
      <c r="I2" s="154">
        <v>42735</v>
      </c>
      <c r="J2" s="154">
        <v>43100</v>
      </c>
      <c r="K2" s="155">
        <v>43465</v>
      </c>
      <c r="L2" s="155">
        <v>43465</v>
      </c>
      <c r="M2" s="155">
        <v>43465</v>
      </c>
      <c r="N2" s="155">
        <v>43465</v>
      </c>
      <c r="O2" s="418"/>
      <c r="P2" s="156"/>
      <c r="R2" s="172"/>
      <c r="S2" s="172"/>
      <c r="T2" s="172"/>
      <c r="U2" s="151"/>
      <c r="V2" s="151"/>
      <c r="W2" s="151"/>
      <c r="X2" s="151"/>
      <c r="Y2" s="151"/>
      <c r="Z2" s="151"/>
      <c r="AA2" s="151"/>
      <c r="AB2" s="151"/>
      <c r="AC2" s="151"/>
    </row>
    <row r="3" spans="1:29" ht="15.75" hidden="1">
      <c r="A3" s="157" t="s">
        <v>101</v>
      </c>
      <c r="B3" s="157"/>
      <c r="C3" s="158"/>
      <c r="D3" s="158"/>
      <c r="E3" s="158"/>
      <c r="F3" s="159">
        <v>41912</v>
      </c>
      <c r="G3" s="159">
        <v>42277</v>
      </c>
      <c r="H3" s="159">
        <v>42643</v>
      </c>
      <c r="I3" s="159">
        <v>43008</v>
      </c>
      <c r="J3" s="159">
        <v>43373</v>
      </c>
      <c r="K3" s="160"/>
      <c r="L3" s="160"/>
      <c r="M3" s="160"/>
      <c r="N3" s="160"/>
      <c r="O3" s="418"/>
      <c r="P3" s="156"/>
      <c r="R3" s="172"/>
      <c r="S3" s="172"/>
      <c r="T3" s="172"/>
      <c r="U3" s="151"/>
      <c r="V3" s="151"/>
      <c r="W3" s="151"/>
      <c r="X3" s="151"/>
      <c r="Y3" s="151"/>
      <c r="Z3" s="151"/>
      <c r="AA3" s="151"/>
      <c r="AB3" s="151"/>
      <c r="AC3" s="151"/>
    </row>
    <row r="4" spans="1:29" ht="15.75">
      <c r="A4" s="161" t="s">
        <v>102</v>
      </c>
      <c r="B4" s="161"/>
      <c r="C4" s="162">
        <f>C5*C6</f>
        <v>1573.8792885375494</v>
      </c>
      <c r="D4" s="162">
        <f t="shared" ref="D4:J4" si="1">D5*D6</f>
        <v>2089.1710476190478</v>
      </c>
      <c r="E4" s="162">
        <f t="shared" si="1"/>
        <v>2009.5634162830379</v>
      </c>
      <c r="F4" s="162">
        <f t="shared" si="1"/>
        <v>1677.0988743535138</v>
      </c>
      <c r="G4" s="162">
        <f t="shared" si="1"/>
        <v>1824.03</v>
      </c>
      <c r="H4" s="162">
        <f t="shared" si="1"/>
        <v>1884.4754385964911</v>
      </c>
      <c r="I4" s="162">
        <f t="shared" si="1"/>
        <v>2336.31931248</v>
      </c>
      <c r="J4" s="162">
        <f t="shared" si="1"/>
        <v>2710.8324249919347</v>
      </c>
      <c r="K4" s="163">
        <f>K5*K6</f>
        <v>2818.2469689655172</v>
      </c>
      <c r="L4" s="163">
        <f t="shared" ref="L4:M4" si="2">L5*L6</f>
        <v>2818.2469689655172</v>
      </c>
      <c r="M4" s="163">
        <f t="shared" si="2"/>
        <v>2818.2469689655172</v>
      </c>
      <c r="N4" s="163">
        <f t="shared" ref="N4:O4" si="3">N5*N6</f>
        <v>2818.2469689655172</v>
      </c>
      <c r="O4" s="163">
        <f t="shared" si="3"/>
        <v>2818.2469689655172</v>
      </c>
      <c r="P4" s="164"/>
      <c r="R4" s="172"/>
      <c r="S4" s="172"/>
      <c r="T4" s="172"/>
      <c r="U4" s="151"/>
      <c r="V4" s="151"/>
      <c r="W4" s="151"/>
      <c r="X4" s="151"/>
      <c r="Y4" s="151"/>
      <c r="Z4" s="151"/>
      <c r="AA4" s="151"/>
      <c r="AB4" s="151"/>
      <c r="AC4" s="151"/>
    </row>
    <row r="5" spans="1:29" ht="15.75">
      <c r="A5" s="165" t="s">
        <v>103</v>
      </c>
      <c r="B5" s="165"/>
      <c r="C5" s="166">
        <v>47.687600000000003</v>
      </c>
      <c r="D5" s="166">
        <v>47.687600000000003</v>
      </c>
      <c r="E5" s="166">
        <v>47.687600000000003</v>
      </c>
      <c r="F5" s="166">
        <v>40.533999999999999</v>
      </c>
      <c r="G5" s="166">
        <f>F5</f>
        <v>40.533999999999999</v>
      </c>
      <c r="H5" s="166">
        <f>G5</f>
        <v>40.533999999999999</v>
      </c>
      <c r="I5" s="166">
        <f>H5-0.726208</f>
        <v>39.807791999999999</v>
      </c>
      <c r="J5" s="166">
        <f>I5-0.420244</f>
        <v>39.387548000000002</v>
      </c>
      <c r="K5" s="167">
        <f>J5</f>
        <v>39.387548000000002</v>
      </c>
      <c r="L5" s="167">
        <f t="shared" ref="L5:O5" si="4">K5</f>
        <v>39.387548000000002</v>
      </c>
      <c r="M5" s="167">
        <f t="shared" si="4"/>
        <v>39.387548000000002</v>
      </c>
      <c r="N5" s="167">
        <f t="shared" si="4"/>
        <v>39.387548000000002</v>
      </c>
      <c r="O5" s="167">
        <f t="shared" si="4"/>
        <v>39.387548000000002</v>
      </c>
      <c r="P5" s="388">
        <f>J5-35.533052</f>
        <v>3.8544960000000046</v>
      </c>
      <c r="R5" s="172"/>
      <c r="S5" s="172"/>
      <c r="T5" s="172"/>
      <c r="U5" s="151"/>
      <c r="V5" s="151"/>
      <c r="W5" s="151"/>
      <c r="X5" s="151"/>
      <c r="Y5" s="151"/>
      <c r="Z5" s="151"/>
      <c r="AA5" s="151"/>
      <c r="AB5" s="151"/>
      <c r="AC5" s="151"/>
    </row>
    <row r="6" spans="1:29" ht="15.75">
      <c r="A6" s="157" t="s">
        <v>104</v>
      </c>
      <c r="B6" s="157"/>
      <c r="C6" s="168">
        <f>1002/C7</f>
        <v>33.003952569169961</v>
      </c>
      <c r="D6" s="168">
        <f>1288/D7</f>
        <v>43.80952380952381</v>
      </c>
      <c r="E6" s="168">
        <f>1309/E7</f>
        <v>42.14016675787915</v>
      </c>
      <c r="F6" s="168">
        <f>1360/F8</f>
        <v>41.375114085792518</v>
      </c>
      <c r="G6" s="168">
        <f>2250/50</f>
        <v>45</v>
      </c>
      <c r="H6" s="168">
        <f>2650/57</f>
        <v>46.491228070175438</v>
      </c>
      <c r="I6" s="168">
        <v>58.69</v>
      </c>
      <c r="J6" s="168">
        <f>4000/J7</f>
        <v>68.824604796214643</v>
      </c>
      <c r="K6" s="169">
        <f>4150/58</f>
        <v>71.551724137931032</v>
      </c>
      <c r="L6" s="169">
        <f t="shared" ref="L6:O6" si="5">K6</f>
        <v>71.551724137931032</v>
      </c>
      <c r="M6" s="169">
        <f t="shared" si="5"/>
        <v>71.551724137931032</v>
      </c>
      <c r="N6" s="169">
        <f t="shared" si="5"/>
        <v>71.551724137931032</v>
      </c>
      <c r="O6" s="169">
        <f t="shared" si="5"/>
        <v>71.551724137931032</v>
      </c>
      <c r="P6" s="164"/>
      <c r="R6" s="172"/>
      <c r="S6" s="172"/>
      <c r="T6" s="172"/>
      <c r="U6" s="151"/>
      <c r="V6" s="151"/>
      <c r="W6" s="151"/>
      <c r="X6" s="151"/>
      <c r="Y6" s="151"/>
      <c r="Z6" s="151"/>
      <c r="AA6" s="151"/>
      <c r="AB6" s="151"/>
      <c r="AC6" s="151"/>
    </row>
    <row r="7" spans="1:29" ht="15.75">
      <c r="A7" s="170" t="s">
        <v>105</v>
      </c>
      <c r="B7" s="170"/>
      <c r="C7" s="171">
        <f>[7]Macro!G$15</f>
        <v>30.36</v>
      </c>
      <c r="D7" s="171">
        <f>[7]Macro!H$15</f>
        <v>29.4</v>
      </c>
      <c r="E7" s="171">
        <f>[7]Macro!I$15</f>
        <v>31.062999999999999</v>
      </c>
      <c r="F7" s="171">
        <f>[7]Macro!J$15</f>
        <v>31.864000000000001</v>
      </c>
      <c r="G7" s="171">
        <f>[7]Macro!K$15</f>
        <v>38.630000000000003</v>
      </c>
      <c r="H7" s="171">
        <f>[7]Macro!L$15</f>
        <v>61.252000000000002</v>
      </c>
      <c r="I7" s="171">
        <f>[7]Macro!M$15</f>
        <v>66.983249999999998</v>
      </c>
      <c r="J7" s="171">
        <f>[7]Macro!N$15</f>
        <v>58.118750000000006</v>
      </c>
      <c r="K7" s="271">
        <f>[7]Macro!O$15</f>
        <v>58.351536438092459</v>
      </c>
      <c r="L7" s="271">
        <f>[7]Macro!P$15</f>
        <v>60.02638161214994</v>
      </c>
      <c r="M7" s="271">
        <f>[7]Macro!Q$15</f>
        <v>61.845390946113277</v>
      </c>
      <c r="N7" s="271">
        <f>[7]Macro!R$15</f>
        <v>63.541824800726452</v>
      </c>
      <c r="O7" s="271">
        <f>[7]Macro!S$15</f>
        <v>65.099222467410925</v>
      </c>
      <c r="P7" s="164"/>
      <c r="Q7">
        <v>58.01</v>
      </c>
      <c r="R7" s="172"/>
      <c r="S7" s="172"/>
      <c r="T7" s="172"/>
      <c r="U7" s="172"/>
      <c r="V7" s="172"/>
      <c r="W7" s="172"/>
      <c r="X7" s="172"/>
      <c r="Y7" s="172"/>
      <c r="Z7" s="151"/>
      <c r="AA7" s="151"/>
      <c r="AB7" s="151"/>
      <c r="AC7" s="151"/>
    </row>
    <row r="8" spans="1:29" ht="15.75">
      <c r="A8" s="170" t="s">
        <v>106</v>
      </c>
      <c r="B8" s="170"/>
      <c r="C8" s="171">
        <f>[7]Macro!G$11</f>
        <v>30.535</v>
      </c>
      <c r="D8" s="171">
        <f>[7]Macro!H$11</f>
        <v>32.14</v>
      </c>
      <c r="E8" s="171">
        <f>[7]Macro!I$11</f>
        <v>30.367999999999999</v>
      </c>
      <c r="F8" s="171">
        <f>[7]Macro!J$11</f>
        <v>32.869999999999997</v>
      </c>
      <c r="G8" s="171">
        <f>[7]Macro!K$11</f>
        <v>56.258000000000003</v>
      </c>
      <c r="H8" s="171">
        <f>[7]Macro!L$11</f>
        <v>72.8827</v>
      </c>
      <c r="I8" s="171">
        <f>[7]Macro!M$11</f>
        <v>60.273000000000003</v>
      </c>
      <c r="J8" s="171">
        <f>[7]Macro!N$11</f>
        <v>57.6</v>
      </c>
      <c r="K8" s="271">
        <f>[7]Macro!O$11</f>
        <v>59.1889590251212</v>
      </c>
      <c r="L8" s="271">
        <f>[7]Macro!P$11</f>
        <v>60.935886279131608</v>
      </c>
      <c r="M8" s="271">
        <f>[7]Macro!Q$11</f>
        <v>62.693607873419865</v>
      </c>
      <c r="N8" s="271">
        <f>[7]Macro!R$11</f>
        <v>64.320523634068692</v>
      </c>
      <c r="O8" s="271">
        <f>[7]Macro!S$11</f>
        <v>65.897007056472333</v>
      </c>
      <c r="P8" s="164"/>
      <c r="R8" s="172"/>
      <c r="S8" s="172"/>
      <c r="T8" s="172"/>
      <c r="U8" s="172"/>
      <c r="V8" s="172"/>
      <c r="W8" s="172"/>
      <c r="X8" s="172"/>
      <c r="Y8" s="172"/>
      <c r="Z8" s="151"/>
      <c r="AA8" s="151"/>
      <c r="AB8" s="151"/>
      <c r="AC8" s="151"/>
    </row>
    <row r="9" spans="1:29" ht="15.75">
      <c r="A9" s="173" t="s">
        <v>1</v>
      </c>
      <c r="B9" s="173"/>
      <c r="C9" s="174">
        <f>(46738-1544-700)/C7</f>
        <v>1465.5467720685112</v>
      </c>
      <c r="D9" s="174">
        <f>(65431-1011-1268)/D7</f>
        <v>2148.0272108843537</v>
      </c>
      <c r="E9" s="174">
        <f>(71112-929-974)/E7</f>
        <v>2228.0204745195251</v>
      </c>
      <c r="F9" s="174">
        <f>(67904-990-975)/F7</f>
        <v>2069.3886517700225</v>
      </c>
      <c r="G9" s="174">
        <f>(74631-1442-1711)/G7</f>
        <v>1850.3235827077399</v>
      </c>
      <c r="H9" s="174">
        <f>(106055-2497-1905)/H7</f>
        <v>1659.5866257428329</v>
      </c>
      <c r="I9" s="174">
        <f>(89359-2427-1368)/I7</f>
        <v>1277.3939753595116</v>
      </c>
      <c r="J9" s="174">
        <f>(94342-2747-1553)/J7</f>
        <v>1549.2762662651896</v>
      </c>
      <c r="K9" s="175">
        <f t="shared" ref="K9:M9" si="6">K15+K20+K37+K51+K53+K56</f>
        <v>1696.9191625881242</v>
      </c>
      <c r="L9" s="175">
        <f t="shared" si="6"/>
        <v>1742.6107116989856</v>
      </c>
      <c r="M9" s="175">
        <f t="shared" si="6"/>
        <v>1895.8245174588499</v>
      </c>
      <c r="N9" s="175">
        <f>N15+N20+N37+N51+N53+N56</f>
        <v>2129.7714979548628</v>
      </c>
      <c r="O9" s="175">
        <f>O15+O20+O37+O51+O53+O56</f>
        <v>2160.7565453132893</v>
      </c>
      <c r="P9" s="164" t="s">
        <v>107</v>
      </c>
      <c r="R9" s="172"/>
      <c r="S9" s="172"/>
      <c r="T9" s="172"/>
      <c r="Z9" s="151"/>
      <c r="AA9" s="151"/>
      <c r="AB9" s="151"/>
      <c r="AC9" s="151"/>
    </row>
    <row r="10" spans="1:29" ht="15.75">
      <c r="A10" s="176" t="s">
        <v>108</v>
      </c>
      <c r="B10" s="176"/>
      <c r="C10" s="177"/>
      <c r="D10" s="178">
        <f t="shared" ref="D10:K10" si="7">D9/C9-1</f>
        <v>0.46568315104169056</v>
      </c>
      <c r="E10" s="178">
        <f t="shared" si="7"/>
        <v>3.7240339987237858E-2</v>
      </c>
      <c r="F10" s="178">
        <f t="shared" si="7"/>
        <v>-7.1198548022190722E-2</v>
      </c>
      <c r="G10" s="178">
        <f>G9/F9-1</f>
        <v>-0.10585980012739915</v>
      </c>
      <c r="H10" s="178">
        <f t="shared" si="7"/>
        <v>-0.10308302761065447</v>
      </c>
      <c r="I10" s="178">
        <f t="shared" si="7"/>
        <v>-0.23029388430522657</v>
      </c>
      <c r="J10" s="178">
        <f t="shared" si="7"/>
        <v>0.21284137560548544</v>
      </c>
      <c r="K10" s="179">
        <f t="shared" si="7"/>
        <v>9.5297978506347691E-2</v>
      </c>
      <c r="L10" s="179">
        <f t="shared" ref="L10" si="8">L9/K9-1</f>
        <v>2.6926178994391758E-2</v>
      </c>
      <c r="M10" s="179">
        <f>M9/L9-1</f>
        <v>8.7921992405570748E-2</v>
      </c>
      <c r="N10" s="179">
        <f>N9/M9-1</f>
        <v>0.12340117892851898</v>
      </c>
      <c r="O10" s="179">
        <f>O9/N9-1</f>
        <v>1.4548531327506442E-2</v>
      </c>
      <c r="P10" s="164"/>
      <c r="R10" s="172"/>
      <c r="S10" s="172"/>
      <c r="T10" s="172"/>
      <c r="U10" s="151"/>
      <c r="V10" s="151"/>
      <c r="W10" s="151"/>
      <c r="X10" s="151"/>
      <c r="Y10" s="151"/>
      <c r="Z10" s="151"/>
      <c r="AA10" s="151"/>
      <c r="AB10" s="151"/>
      <c r="AC10" s="151"/>
    </row>
    <row r="11" spans="1:29" ht="15.75">
      <c r="A11" s="180" t="s">
        <v>267</v>
      </c>
      <c r="B11" s="180"/>
      <c r="C11" s="181">
        <f t="shared" ref="C11:H11" si="9">C13+C14</f>
        <v>5415.9504911999993</v>
      </c>
      <c r="D11" s="181">
        <f t="shared" si="9"/>
        <v>5668.3810514999996</v>
      </c>
      <c r="E11" s="181">
        <f t="shared" si="9"/>
        <v>5671.8205601</v>
      </c>
      <c r="F11" s="181">
        <f t="shared" si="9"/>
        <v>5875.3461071000002</v>
      </c>
      <c r="G11" s="181">
        <f t="shared" si="9"/>
        <v>6048.5999999999995</v>
      </c>
      <c r="H11" s="181">
        <f t="shared" si="9"/>
        <v>6154.4967692999953</v>
      </c>
      <c r="I11" s="181">
        <f>I13+I14</f>
        <v>6366.3819678</v>
      </c>
      <c r="J11" s="181">
        <f>J13+J14</f>
        <v>7351.5</v>
      </c>
      <c r="K11" s="182">
        <f t="shared" ref="K11:L11" si="10">K13+K14</f>
        <v>7567.5835982174158</v>
      </c>
      <c r="L11" s="182">
        <f t="shared" si="10"/>
        <v>7780.9324871063045</v>
      </c>
      <c r="M11" s="182">
        <f>M13+M14</f>
        <v>8375.6711987381696</v>
      </c>
      <c r="N11" s="182">
        <f>N13+N14</f>
        <v>9129.6361541234801</v>
      </c>
      <c r="O11" s="182">
        <f>O13+O14</f>
        <v>9129.6361541234801</v>
      </c>
      <c r="P11" s="164"/>
      <c r="Q11">
        <v>5443</v>
      </c>
      <c r="R11" s="208">
        <f>Q11/J11</f>
        <v>0.74039311705094202</v>
      </c>
      <c r="S11" s="172"/>
      <c r="T11" s="172"/>
      <c r="U11" s="151"/>
      <c r="V11" s="151"/>
      <c r="W11" s="151"/>
      <c r="X11" s="151"/>
      <c r="Y11" s="151"/>
      <c r="Z11" s="151"/>
      <c r="AA11" s="151"/>
      <c r="AB11" s="151"/>
      <c r="AC11" s="151"/>
    </row>
    <row r="12" spans="1:29" ht="15.75">
      <c r="A12" s="176" t="s">
        <v>108</v>
      </c>
      <c r="B12" s="176"/>
      <c r="C12" s="177"/>
      <c r="D12" s="178">
        <f t="shared" ref="D12" si="11">D11/C11-1</f>
        <v>4.6608727445008435E-2</v>
      </c>
      <c r="E12" s="178">
        <f t="shared" ref="E12" si="12">E11/D11-1</f>
        <v>6.0678852899109792E-4</v>
      </c>
      <c r="F12" s="178">
        <f t="shared" ref="F12" si="13">F11/E11-1</f>
        <v>3.5883636452069156E-2</v>
      </c>
      <c r="G12" s="178">
        <f t="shared" ref="G12" si="14">G11/F11-1</f>
        <v>2.9488287113951017E-2</v>
      </c>
      <c r="H12" s="178">
        <f t="shared" ref="H12" si="15">H11/G11-1</f>
        <v>1.7507649588333729E-2</v>
      </c>
      <c r="I12" s="178">
        <f t="shared" ref="I12:J12" si="16">I11/H11-1</f>
        <v>3.4427704886764277E-2</v>
      </c>
      <c r="J12" s="178">
        <f t="shared" si="16"/>
        <v>0.15473750038601941</v>
      </c>
      <c r="K12" s="179">
        <f t="shared" ref="K12" si="17">K11/J11-1</f>
        <v>2.9393130411129231E-2</v>
      </c>
      <c r="L12" s="179">
        <f t="shared" ref="L12" si="18">L11/K11-1</f>
        <v>2.8192472024906934E-2</v>
      </c>
      <c r="M12" s="179">
        <f t="shared" ref="M12" si="19">M11/L11-1</f>
        <v>7.6435403162461446E-2</v>
      </c>
      <c r="N12" s="179">
        <f t="shared" ref="N12:O12" si="20">N11/M11-1</f>
        <v>9.0018451953904233E-2</v>
      </c>
      <c r="O12" s="179">
        <f t="shared" si="20"/>
        <v>0</v>
      </c>
      <c r="P12" s="164"/>
      <c r="R12" s="172"/>
      <c r="S12" s="172"/>
      <c r="T12" s="172"/>
      <c r="U12" s="151"/>
      <c r="V12" s="151"/>
      <c r="W12" s="151"/>
      <c r="X12" s="151"/>
      <c r="Y12" s="151"/>
      <c r="Z12" s="151"/>
      <c r="AA12" s="151"/>
      <c r="AB12" s="151"/>
      <c r="AC12" s="151"/>
    </row>
    <row r="13" spans="1:29" ht="15.75">
      <c r="A13" s="185" t="s">
        <v>268</v>
      </c>
      <c r="B13" s="176"/>
      <c r="C13" s="186">
        <f t="shared" ref="C13:J13" si="21">C16+C18+C22+C23+C26+C27+C30+C38+C57+C58</f>
        <v>4475.1499999999996</v>
      </c>
      <c r="D13" s="186">
        <f t="shared" si="21"/>
        <v>4695.95</v>
      </c>
      <c r="E13" s="186">
        <f t="shared" si="21"/>
        <v>4781.95</v>
      </c>
      <c r="F13" s="186">
        <f t="shared" si="21"/>
        <v>5048.8500000000004</v>
      </c>
      <c r="G13" s="186">
        <f t="shared" si="21"/>
        <v>5069.7</v>
      </c>
      <c r="H13" s="186">
        <f t="shared" si="21"/>
        <v>5133.6192709999996</v>
      </c>
      <c r="I13" s="186">
        <f t="shared" si="21"/>
        <v>5470.3390650000001</v>
      </c>
      <c r="J13" s="186">
        <f>J16+J18+J22+J23+J26+J27+J30+J33+J38+J35+J54+J57+J58</f>
        <v>6401.5</v>
      </c>
      <c r="K13" s="187">
        <f t="shared" ref="K13:N13" si="22">K16+K18+K22+K23+K26+K27+K30+K33+K38+K54+K57+K58</f>
        <v>6617.5835982174158</v>
      </c>
      <c r="L13" s="187">
        <f t="shared" si="22"/>
        <v>6830.9324871063045</v>
      </c>
      <c r="M13" s="187">
        <f t="shared" si="22"/>
        <v>7425.6711987381696</v>
      </c>
      <c r="N13" s="187">
        <f t="shared" si="22"/>
        <v>8097.6361541234801</v>
      </c>
      <c r="O13" s="187">
        <f t="shared" ref="O13" si="23">O16+O18+O22+O23+O26+O27+O30+O33+O38+O54+O57+O58</f>
        <v>8097.6361541234801</v>
      </c>
      <c r="P13" s="164"/>
      <c r="R13" s="172"/>
      <c r="S13" s="172"/>
      <c r="T13" s="172"/>
      <c r="U13" s="151"/>
      <c r="V13" s="151"/>
      <c r="W13" s="151"/>
      <c r="X13" s="151"/>
      <c r="Y13" s="151"/>
      <c r="Z13" s="151"/>
      <c r="AA13" s="151"/>
      <c r="AB13" s="151"/>
      <c r="AC13" s="151"/>
    </row>
    <row r="14" spans="1:29" ht="15.75">
      <c r="A14" s="185" t="s">
        <v>269</v>
      </c>
      <c r="B14" s="176"/>
      <c r="C14" s="186">
        <v>940.80049120000001</v>
      </c>
      <c r="D14" s="186">
        <v>972.43105149999985</v>
      </c>
      <c r="E14" s="186">
        <v>889.87056009999981</v>
      </c>
      <c r="F14" s="186">
        <v>826.49610710000002</v>
      </c>
      <c r="G14" s="186">
        <v>978.89999999999986</v>
      </c>
      <c r="H14" s="186">
        <v>1020.8774982999961</v>
      </c>
      <c r="I14" s="186">
        <v>896.04290279999998</v>
      </c>
      <c r="J14" s="186">
        <v>950</v>
      </c>
      <c r="K14" s="187">
        <f>J14</f>
        <v>950</v>
      </c>
      <c r="L14" s="187">
        <f t="shared" ref="L14" si="24">K14</f>
        <v>950</v>
      </c>
      <c r="M14" s="187">
        <f>L14</f>
        <v>950</v>
      </c>
      <c r="N14" s="187">
        <f>M14+82</f>
        <v>1032</v>
      </c>
      <c r="O14" s="187">
        <f>N14</f>
        <v>1032</v>
      </c>
      <c r="P14" s="164"/>
      <c r="R14" s="172"/>
      <c r="S14" s="172"/>
      <c r="T14" s="172"/>
      <c r="U14" s="151"/>
      <c r="V14" s="151"/>
      <c r="W14" s="151"/>
      <c r="X14" s="151"/>
      <c r="Y14" s="151"/>
      <c r="Z14" s="151"/>
      <c r="AA14" s="151"/>
      <c r="AB14" s="151"/>
      <c r="AC14" s="151"/>
    </row>
    <row r="15" spans="1:29" s="141" customFormat="1" ht="14.25" customHeight="1" outlineLevel="1">
      <c r="A15" s="180" t="s">
        <v>90</v>
      </c>
      <c r="B15" s="180"/>
      <c r="C15" s="181">
        <f>(C16+C18)*C19/1000</f>
        <v>93.951999999999998</v>
      </c>
      <c r="D15" s="181">
        <f>(D16+D18)*D19/1000</f>
        <v>103.292</v>
      </c>
      <c r="E15" s="181">
        <f t="shared" ref="E15:F15" si="25">(E16+E18)*E19/1000</f>
        <v>85.12</v>
      </c>
      <c r="F15" s="181">
        <f t="shared" si="25"/>
        <v>75.795000000000002</v>
      </c>
      <c r="G15" s="181">
        <f>(G16+G18)*G19/1000</f>
        <v>57.43490000000007</v>
      </c>
      <c r="H15" s="181">
        <f>(H16+H18)*H19/1000</f>
        <v>14.204599282599961</v>
      </c>
      <c r="I15" s="181">
        <f>(I16+I18)*I19/1000</f>
        <v>72.522000000000006</v>
      </c>
      <c r="J15" s="181">
        <f>(J16+J18)*J19/1000</f>
        <v>147.11699999999999</v>
      </c>
      <c r="K15" s="182">
        <f>(K16+K18)*K19/1000</f>
        <v>148.83008173862535</v>
      </c>
      <c r="L15" s="182">
        <f t="shared" ref="L15" si="26">(L16+L18)*L19/1000</f>
        <v>111.07196024636134</v>
      </c>
      <c r="M15" s="182">
        <f>(M16+M18)*M19/1000</f>
        <v>98.470731672364323</v>
      </c>
      <c r="N15" s="182">
        <f>(N16+N18)*N19/1000</f>
        <v>78.113308829689984</v>
      </c>
      <c r="O15" s="182">
        <f>(O16+O18)*O19/1000</f>
        <v>79.000111580565019</v>
      </c>
      <c r="P15" s="183"/>
      <c r="R15" s="339"/>
      <c r="S15" s="339"/>
      <c r="T15" s="339"/>
      <c r="U15" s="184"/>
      <c r="V15" s="184"/>
      <c r="W15" s="184"/>
      <c r="X15" s="184"/>
      <c r="Y15" s="184"/>
      <c r="Z15" s="184"/>
      <c r="AA15" s="184"/>
      <c r="AB15" s="184"/>
      <c r="AC15" s="184"/>
    </row>
    <row r="16" spans="1:29" s="141" customFormat="1" ht="15.75" customHeight="1" outlineLevel="2">
      <c r="A16" s="185" t="s">
        <v>109</v>
      </c>
      <c r="B16" s="185"/>
      <c r="C16" s="186">
        <v>1722</v>
      </c>
      <c r="D16" s="186">
        <v>1770</v>
      </c>
      <c r="E16" s="186">
        <v>1783</v>
      </c>
      <c r="F16" s="186">
        <v>1917</v>
      </c>
      <c r="G16" s="186">
        <v>1821.8000000000002</v>
      </c>
      <c r="H16" s="186">
        <v>1765.001</v>
      </c>
      <c r="I16" s="186">
        <v>2201</v>
      </c>
      <c r="J16" s="186">
        <v>2595</v>
      </c>
      <c r="K16" s="406">
        <v>2600</v>
      </c>
      <c r="L16" s="187">
        <f t="shared" ref="L16:O17" si="27">K16</f>
        <v>2600</v>
      </c>
      <c r="M16" s="327">
        <f>L16+71+130</f>
        <v>2801</v>
      </c>
      <c r="N16" s="327">
        <f>M16+128</f>
        <v>2929</v>
      </c>
      <c r="O16" s="327">
        <f>N16</f>
        <v>2929</v>
      </c>
      <c r="P16" s="183" t="s">
        <v>270</v>
      </c>
      <c r="R16" s="340"/>
      <c r="S16" s="340"/>
      <c r="T16" s="340"/>
      <c r="U16" s="187"/>
      <c r="V16" s="184"/>
      <c r="W16" s="184"/>
      <c r="X16" s="184"/>
      <c r="Y16" s="184"/>
      <c r="Z16" s="184"/>
      <c r="AA16" s="184"/>
      <c r="AB16" s="184"/>
      <c r="AC16" s="184"/>
    </row>
    <row r="17" spans="1:29" s="141" customFormat="1" ht="15.75" customHeight="1" outlineLevel="2">
      <c r="A17" s="188" t="s">
        <v>110</v>
      </c>
      <c r="B17" s="188"/>
      <c r="C17" s="186">
        <v>98</v>
      </c>
      <c r="D17" s="186">
        <v>90</v>
      </c>
      <c r="E17" s="186">
        <v>88</v>
      </c>
      <c r="F17" s="186">
        <v>81</v>
      </c>
      <c r="G17" s="186">
        <v>75</v>
      </c>
      <c r="H17" s="186">
        <v>57</v>
      </c>
      <c r="I17" s="186">
        <v>0</v>
      </c>
      <c r="J17" s="186">
        <v>0</v>
      </c>
      <c r="K17" s="187">
        <f t="shared" ref="K17" si="28">J17</f>
        <v>0</v>
      </c>
      <c r="L17" s="187">
        <f t="shared" si="27"/>
        <v>0</v>
      </c>
      <c r="M17" s="187">
        <f t="shared" ref="M17" si="29">L17</f>
        <v>0</v>
      </c>
      <c r="N17" s="187">
        <f t="shared" si="27"/>
        <v>0</v>
      </c>
      <c r="O17" s="187">
        <f t="shared" si="27"/>
        <v>0</v>
      </c>
      <c r="P17" s="183"/>
      <c r="R17" s="341"/>
      <c r="S17" s="341"/>
      <c r="T17" s="341"/>
      <c r="U17" s="187"/>
      <c r="V17" s="184"/>
      <c r="W17" s="184"/>
      <c r="X17" s="184"/>
      <c r="Y17" s="184"/>
      <c r="Z17" s="184"/>
      <c r="AA17" s="184"/>
      <c r="AB17" s="184"/>
      <c r="AC17" s="184"/>
    </row>
    <row r="18" spans="1:29" s="141" customFormat="1" ht="15.75" customHeight="1" outlineLevel="2">
      <c r="A18" s="185" t="s">
        <v>111</v>
      </c>
      <c r="B18" s="185"/>
      <c r="C18" s="186">
        <v>-1466</v>
      </c>
      <c r="D18" s="186">
        <v>-1574</v>
      </c>
      <c r="E18" s="186">
        <v>-1631</v>
      </c>
      <c r="F18" s="186">
        <v>-1762</v>
      </c>
      <c r="G18" s="186">
        <v>-1706.7</v>
      </c>
      <c r="H18" s="186">
        <v>-1728.5602630000001</v>
      </c>
      <c r="I18" s="186">
        <v>-1895</v>
      </c>
      <c r="J18" s="186">
        <v>-2044</v>
      </c>
      <c r="K18" s="187">
        <f>-(0.58*K22+0.46*(K26-340)+0.212*K38+0.1486*K54+108)</f>
        <v>-2129.66</v>
      </c>
      <c r="L18" s="187">
        <f>-(0.58*L22+0.46*(L26-340)+0.212*L38+0.1486*L54+108)</f>
        <v>-2253.1999999999998</v>
      </c>
      <c r="M18" s="187">
        <f>-(0.58*M22+0.46*(M26-340)+0.212*M38+0.1486*M54+108)</f>
        <v>-2496.998</v>
      </c>
      <c r="N18" s="187">
        <f>-(0.58*N22+0.46*(N26-340)+0.212*N38+0.1486*N54+108)</f>
        <v>-2690.5540000000001</v>
      </c>
      <c r="O18" s="187">
        <f>-(0.58*O22+0.46*(O26-340)+0.212*O38+0.1486*O54+108)</f>
        <v>-2690.5540000000001</v>
      </c>
      <c r="P18" s="183"/>
      <c r="R18" s="341"/>
      <c r="S18" s="341"/>
      <c r="T18" s="341"/>
      <c r="U18" s="187"/>
      <c r="V18" s="184"/>
      <c r="W18" s="184"/>
      <c r="X18" s="184"/>
      <c r="Y18" s="184"/>
      <c r="Z18" s="184"/>
      <c r="AA18" s="184"/>
      <c r="AB18" s="184"/>
      <c r="AC18" s="184"/>
    </row>
    <row r="19" spans="1:29" s="141" customFormat="1" ht="15.75" customHeight="1" outlineLevel="2">
      <c r="A19" s="189" t="s">
        <v>112</v>
      </c>
      <c r="B19" s="189"/>
      <c r="C19" s="190">
        <v>367</v>
      </c>
      <c r="D19" s="190">
        <v>527</v>
      </c>
      <c r="E19" s="190">
        <v>560</v>
      </c>
      <c r="F19" s="190">
        <v>489</v>
      </c>
      <c r="G19" s="190">
        <v>499</v>
      </c>
      <c r="H19" s="190">
        <v>389.8</v>
      </c>
      <c r="I19" s="190">
        <v>237</v>
      </c>
      <c r="J19" s="190">
        <v>267</v>
      </c>
      <c r="K19" s="191">
        <f>[8]PX!O$68</f>
        <v>316.43084096318688</v>
      </c>
      <c r="L19" s="191">
        <f>[8]PX!P$68</f>
        <v>320.2767019791271</v>
      </c>
      <c r="M19" s="191">
        <f>[8]PX!Q$68</f>
        <v>323.91474948310974</v>
      </c>
      <c r="N19" s="191">
        <f>[8]PX!R$68</f>
        <v>327.59328665479819</v>
      </c>
      <c r="O19" s="191">
        <f>[8]PX!S$68</f>
        <v>331.31237924127493</v>
      </c>
      <c r="P19" s="408">
        <f>M19/J19-1</f>
        <v>0.21316385574198415</v>
      </c>
      <c r="R19" s="340"/>
      <c r="S19" s="340"/>
      <c r="T19" s="340" t="s">
        <v>322</v>
      </c>
      <c r="U19" s="187"/>
      <c r="V19" s="184"/>
      <c r="W19" s="184"/>
      <c r="X19" s="184"/>
      <c r="Y19" s="184"/>
      <c r="Z19" s="184"/>
      <c r="AA19" s="184"/>
      <c r="AB19" s="184"/>
      <c r="AC19" s="184"/>
    </row>
    <row r="20" spans="1:29" s="141" customFormat="1" ht="15.75" customHeight="1" outlineLevel="1">
      <c r="A20" s="180" t="s">
        <v>113</v>
      </c>
      <c r="B20" s="180"/>
      <c r="C20" s="181">
        <f>C21+C25+C29+C32</f>
        <v>410.07550000000003</v>
      </c>
      <c r="D20" s="181">
        <f t="shared" ref="D20:J20" si="30">D21+D25+D29+D32</f>
        <v>596.56970000000001</v>
      </c>
      <c r="E20" s="181">
        <f t="shared" si="30"/>
        <v>629.20404999999994</v>
      </c>
      <c r="F20" s="181">
        <f t="shared" si="30"/>
        <v>637.82294999999999</v>
      </c>
      <c r="G20" s="181">
        <f t="shared" si="30"/>
        <v>604.70699999999999</v>
      </c>
      <c r="H20" s="181">
        <f t="shared" si="30"/>
        <v>490.79602197500003</v>
      </c>
      <c r="I20" s="181">
        <f t="shared" si="30"/>
        <v>456.01743128999999</v>
      </c>
      <c r="J20" s="181">
        <f t="shared" si="30"/>
        <v>657.01750000000004</v>
      </c>
      <c r="K20" s="192">
        <f t="shared" ref="K20" si="31">K21+K25+K29+K32</f>
        <v>755.1423930368544</v>
      </c>
      <c r="L20" s="192">
        <f t="shared" ref="L20" si="32">L21+L25+L29+L32</f>
        <v>805.59761769738122</v>
      </c>
      <c r="M20" s="192">
        <f t="shared" ref="M20" si="33">M21+M25+M29+M32</f>
        <v>871.66863094456892</v>
      </c>
      <c r="N20" s="192">
        <f t="shared" ref="N20:O20" si="34">N21+N25+N29+N32</f>
        <v>876.29709445144397</v>
      </c>
      <c r="O20" s="192">
        <f>O21+O25+O29+O32</f>
        <v>880.95741857559312</v>
      </c>
      <c r="P20" s="183"/>
      <c r="R20" s="339"/>
      <c r="S20" s="339"/>
      <c r="T20" s="339"/>
      <c r="U20" s="184"/>
      <c r="V20" s="184"/>
      <c r="W20" s="184"/>
      <c r="X20" s="184"/>
      <c r="Y20" s="184"/>
      <c r="Z20" s="184"/>
      <c r="AA20" s="184"/>
      <c r="AB20" s="184"/>
      <c r="AC20" s="184"/>
    </row>
    <row r="21" spans="1:29" s="141" customFormat="1" ht="15.75" customHeight="1" outlineLevel="2">
      <c r="A21" s="185" t="s">
        <v>89</v>
      </c>
      <c r="B21" s="185"/>
      <c r="C21" s="186">
        <f>(C22+C23)*C24/1000</f>
        <v>54.335999999999999</v>
      </c>
      <c r="D21" s="186">
        <f t="shared" ref="D21:F21" si="35">(D22+D23)*D24/1000</f>
        <v>73.748000000000005</v>
      </c>
      <c r="E21" s="186">
        <f t="shared" si="35"/>
        <v>98</v>
      </c>
      <c r="F21" s="186">
        <f t="shared" si="35"/>
        <v>95.483999999999995</v>
      </c>
      <c r="G21" s="186">
        <f>(G22+G23)*G24/1000</f>
        <v>71.0946</v>
      </c>
      <c r="H21" s="186">
        <f>(H22+H23)*H24/1000</f>
        <v>61.114964999999998</v>
      </c>
      <c r="I21" s="186">
        <f>(I22+I23)*I24/1000</f>
        <v>66.153999999999996</v>
      </c>
      <c r="J21" s="186">
        <f>(J22+J23)*J24/1000</f>
        <v>114.45</v>
      </c>
      <c r="K21" s="187">
        <f>(K22+K23)*K24/1000</f>
        <v>158.89929077197968</v>
      </c>
      <c r="L21" s="187">
        <f t="shared" ref="L21:M21" si="36">(L22+L23)*L24/1000</f>
        <v>212.45879485364375</v>
      </c>
      <c r="M21" s="187">
        <f t="shared" si="36"/>
        <v>202.88342474416109</v>
      </c>
      <c r="N21" s="187">
        <f>(N22+N23)*N24/1000</f>
        <v>203.97314952641909</v>
      </c>
      <c r="O21" s="187">
        <f>(O22+O23)*O24/1000</f>
        <v>205.0748883888636</v>
      </c>
      <c r="P21" s="183"/>
      <c r="R21" s="339"/>
      <c r="S21" s="339"/>
      <c r="T21" s="339"/>
      <c r="U21" s="184"/>
      <c r="V21" s="184"/>
      <c r="W21" s="184"/>
      <c r="X21" s="184"/>
      <c r="Y21" s="184"/>
      <c r="Z21" s="184"/>
      <c r="AA21" s="184"/>
      <c r="AB21" s="184"/>
      <c r="AC21" s="184"/>
    </row>
    <row r="22" spans="1:29" s="141" customFormat="1" ht="15.75" customHeight="1" outlineLevel="2">
      <c r="A22" s="188" t="s">
        <v>109</v>
      </c>
      <c r="B22" s="188"/>
      <c r="C22" s="186">
        <v>449</v>
      </c>
      <c r="D22" s="186">
        <v>459</v>
      </c>
      <c r="E22" s="186">
        <v>571</v>
      </c>
      <c r="F22" s="186">
        <v>656</v>
      </c>
      <c r="G22" s="186">
        <v>645.6</v>
      </c>
      <c r="H22" s="186">
        <v>623.5</v>
      </c>
      <c r="I22" s="186">
        <v>823</v>
      </c>
      <c r="J22" s="186">
        <v>954</v>
      </c>
      <c r="K22" s="407">
        <v>1100</v>
      </c>
      <c r="L22" s="398">
        <f>K22+213</f>
        <v>1313</v>
      </c>
      <c r="M22" s="199">
        <f t="shared" ref="M22:O22" si="37">L22</f>
        <v>1313</v>
      </c>
      <c r="N22" s="199">
        <f t="shared" si="37"/>
        <v>1313</v>
      </c>
      <c r="O22" s="199">
        <f t="shared" si="37"/>
        <v>1313</v>
      </c>
      <c r="P22" s="183"/>
      <c r="R22" s="340"/>
      <c r="S22" s="340"/>
      <c r="T22" s="340"/>
      <c r="U22" s="184"/>
      <c r="V22" s="184"/>
      <c r="W22" s="184"/>
      <c r="X22" s="184"/>
      <c r="Y22" s="184"/>
      <c r="Z22" s="184"/>
      <c r="AA22" s="184"/>
      <c r="AB22" s="184"/>
      <c r="AC22" s="184"/>
    </row>
    <row r="23" spans="1:29" s="141" customFormat="1" ht="15.75" customHeight="1" outlineLevel="2">
      <c r="A23" s="188" t="s">
        <v>111</v>
      </c>
      <c r="B23" s="188"/>
      <c r="C23" s="186">
        <v>-257</v>
      </c>
      <c r="D23" s="186">
        <v>-280</v>
      </c>
      <c r="E23" s="186">
        <v>-326</v>
      </c>
      <c r="F23" s="186">
        <v>-364</v>
      </c>
      <c r="G23" s="186">
        <v>-417</v>
      </c>
      <c r="H23" s="186">
        <v>-394.60500000000002</v>
      </c>
      <c r="I23" s="186">
        <v>-482</v>
      </c>
      <c r="J23" s="186">
        <v>-429</v>
      </c>
      <c r="K23" s="187">
        <f t="shared" ref="K23:N23" si="38">-0.378*(K30+170)</f>
        <v>-453.6</v>
      </c>
      <c r="L23" s="187">
        <f t="shared" si="38"/>
        <v>-453.6</v>
      </c>
      <c r="M23" s="187">
        <f t="shared" si="38"/>
        <v>-496.69200000000001</v>
      </c>
      <c r="N23" s="187">
        <f>-0.378*(N30+170)</f>
        <v>-496.69200000000001</v>
      </c>
      <c r="O23" s="187">
        <f>-0.378*(O30+170)</f>
        <v>-496.69200000000001</v>
      </c>
      <c r="P23" s="183"/>
      <c r="R23" s="339"/>
      <c r="S23" s="339"/>
      <c r="T23" s="339"/>
      <c r="U23" s="184"/>
      <c r="V23" s="184"/>
      <c r="W23" s="184"/>
      <c r="X23" s="184"/>
      <c r="Y23" s="184"/>
      <c r="Z23" s="184"/>
      <c r="AA23" s="184"/>
      <c r="AB23" s="184"/>
      <c r="AC23" s="184"/>
    </row>
    <row r="24" spans="1:29" s="141" customFormat="1" ht="15.75" customHeight="1" outlineLevel="2">
      <c r="A24" s="193" t="s">
        <v>112</v>
      </c>
      <c r="B24" s="193"/>
      <c r="C24" s="190">
        <v>283</v>
      </c>
      <c r="D24" s="190">
        <v>412</v>
      </c>
      <c r="E24" s="190">
        <v>400</v>
      </c>
      <c r="F24" s="190">
        <v>327</v>
      </c>
      <c r="G24" s="190">
        <v>311</v>
      </c>
      <c r="H24" s="190">
        <v>267</v>
      </c>
      <c r="I24" s="190">
        <v>194</v>
      </c>
      <c r="J24" s="190">
        <v>218</v>
      </c>
      <c r="K24" s="191">
        <f>[9]PX!O$20</f>
        <v>245.82192260516661</v>
      </c>
      <c r="L24" s="191">
        <f>[9]PX!P$20</f>
        <v>247.21758768168925</v>
      </c>
      <c r="M24" s="191">
        <f>[9]PX!Q$20</f>
        <v>248.53783712049994</v>
      </c>
      <c r="N24" s="191">
        <f>[9]PX!R$20</f>
        <v>249.87278028197579</v>
      </c>
      <c r="O24" s="191">
        <f>[9]PX!S$20</f>
        <v>251.2224410257692</v>
      </c>
      <c r="P24" s="408">
        <f>M24/J24-1</f>
        <v>0.14008182165366945</v>
      </c>
      <c r="U24" s="340" t="s">
        <v>322</v>
      </c>
      <c r="V24" s="184"/>
      <c r="W24" s="184"/>
      <c r="X24" s="184"/>
      <c r="Y24" s="184"/>
      <c r="Z24" s="184"/>
      <c r="AA24" s="184"/>
      <c r="AB24" s="184"/>
      <c r="AC24" s="184"/>
    </row>
    <row r="25" spans="1:29" s="141" customFormat="1" ht="15.75" customHeight="1" outlineLevel="2">
      <c r="A25" s="185" t="s">
        <v>114</v>
      </c>
      <c r="B25" s="185"/>
      <c r="C25" s="186">
        <f>(C26+C27)*C28/1000</f>
        <v>245.44450000000003</v>
      </c>
      <c r="D25" s="186">
        <f t="shared" ref="D25:F25" si="39">(D26+D27)*D28/1000</f>
        <v>356.47469999999998</v>
      </c>
      <c r="E25" s="186">
        <f t="shared" si="39"/>
        <v>332.77204999999998</v>
      </c>
      <c r="F25" s="186">
        <f t="shared" si="39"/>
        <v>335.74694999999997</v>
      </c>
      <c r="G25" s="186">
        <f>(G26+G27)*G28/1000</f>
        <v>305.97000000000003</v>
      </c>
      <c r="H25" s="186">
        <f>(H26+H27)*H28/1000</f>
        <v>259.48338537500001</v>
      </c>
      <c r="I25" s="186">
        <f>(I26+I27)*I28/1000</f>
        <v>233.48843128999997</v>
      </c>
      <c r="J25" s="186">
        <f>(J26+J27)*J28/1000</f>
        <v>248.48750000000001</v>
      </c>
      <c r="K25" s="187">
        <f t="shared" ref="K25:N25" si="40">(K26+K27)*K28/1000</f>
        <v>318.11910947016793</v>
      </c>
      <c r="L25" s="187">
        <f t="shared" si="40"/>
        <v>338.25436883210602</v>
      </c>
      <c r="M25" s="187">
        <f t="shared" si="40"/>
        <v>453.69126776769679</v>
      </c>
      <c r="N25" s="187">
        <f>(N26+N27)*N28/1000</f>
        <v>455.8765947135152</v>
      </c>
      <c r="O25" s="187">
        <f>(O26+O27)*O28/1000</f>
        <v>458.07417776967515</v>
      </c>
      <c r="P25" s="183"/>
      <c r="R25" s="340"/>
      <c r="S25" s="340"/>
      <c r="T25" s="340"/>
      <c r="U25" s="184"/>
      <c r="V25" s="184"/>
      <c r="W25" s="184"/>
      <c r="X25" s="184"/>
      <c r="Y25" s="184"/>
      <c r="Z25" s="184"/>
      <c r="AA25" s="184"/>
      <c r="AB25" s="184"/>
      <c r="AC25" s="184"/>
    </row>
    <row r="26" spans="1:29" s="141" customFormat="1" ht="15.75" customHeight="1" outlineLevel="2">
      <c r="A26" s="188" t="s">
        <v>109</v>
      </c>
      <c r="B26" s="188"/>
      <c r="C26" s="186">
        <v>1298</v>
      </c>
      <c r="D26" s="186">
        <v>1412</v>
      </c>
      <c r="E26" s="186">
        <v>1423</v>
      </c>
      <c r="F26" s="186">
        <v>1533</v>
      </c>
      <c r="G26" s="186">
        <v>1434</v>
      </c>
      <c r="H26" s="186">
        <v>1516.070326</v>
      </c>
      <c r="I26" s="186">
        <v>1748</v>
      </c>
      <c r="J26" s="186">
        <f>1975+340</f>
        <v>2315</v>
      </c>
      <c r="K26" s="327">
        <f>J26+0.45*(K30-J30)-40</f>
        <v>2311</v>
      </c>
      <c r="L26" s="187">
        <f>K26+0.45*(L30-K30)</f>
        <v>2311</v>
      </c>
      <c r="M26" s="327">
        <f>L26+0.45*(M30-L30)+322</f>
        <v>2684.3</v>
      </c>
      <c r="N26" s="327">
        <f>M26+0.45*(N30-M30)</f>
        <v>2684.3</v>
      </c>
      <c r="O26" s="327">
        <f>N26+0.45*(O30-N30)</f>
        <v>2684.3</v>
      </c>
      <c r="P26" s="183">
        <v>1975</v>
      </c>
      <c r="R26" s="340"/>
      <c r="S26" s="340"/>
      <c r="T26" s="340"/>
      <c r="U26" s="184"/>
      <c r="V26" s="184"/>
      <c r="W26" s="184"/>
      <c r="X26" s="184"/>
      <c r="Y26" s="184"/>
      <c r="Z26" s="184"/>
      <c r="AA26" s="184"/>
      <c r="AB26" s="184"/>
      <c r="AC26" s="184"/>
    </row>
    <row r="27" spans="1:29" s="141" customFormat="1" ht="15.75" customHeight="1" outlineLevel="2">
      <c r="A27" s="188" t="s">
        <v>111</v>
      </c>
      <c r="B27" s="188"/>
      <c r="C27" s="186">
        <f t="shared" ref="C27:E27" si="41">-(0.45*C30)</f>
        <v>-230.85</v>
      </c>
      <c r="D27" s="186">
        <f t="shared" si="41"/>
        <v>-247.05</v>
      </c>
      <c r="E27" s="186">
        <f t="shared" si="41"/>
        <v>-310.05</v>
      </c>
      <c r="F27" s="186">
        <f>-(0.45*F30)</f>
        <v>-363.15000000000003</v>
      </c>
      <c r="G27" s="186">
        <f>-118.8-230.2</f>
        <v>-349</v>
      </c>
      <c r="H27" s="186">
        <f>-86.637701-265.83</f>
        <v>-352.46770099999998</v>
      </c>
      <c r="I27" s="186">
        <f>-172.304405-169.13878</f>
        <v>-341.44318499999997</v>
      </c>
      <c r="J27" s="186">
        <f>-(0.45*J30)+J34</f>
        <v>-1027.5</v>
      </c>
      <c r="K27" s="187">
        <f t="shared" ref="K27:O27" si="42">-(0.45*K30)+K34</f>
        <v>-774.61111111111109</v>
      </c>
      <c r="L27" s="187">
        <f t="shared" si="42"/>
        <v>-685.72222222222217</v>
      </c>
      <c r="M27" s="187">
        <f t="shared" si="42"/>
        <v>-514.80000000000007</v>
      </c>
      <c r="N27" s="187">
        <f t="shared" si="42"/>
        <v>-514.80000000000007</v>
      </c>
      <c r="O27" s="187">
        <f>-(0.45*O30)+O34</f>
        <v>-514.80000000000007</v>
      </c>
      <c r="P27" s="183">
        <v>340</v>
      </c>
      <c r="R27" s="339"/>
      <c r="S27" s="339"/>
      <c r="T27" s="339"/>
      <c r="U27" s="184"/>
      <c r="V27" s="184"/>
      <c r="W27" s="184"/>
      <c r="X27" s="184"/>
      <c r="Y27" s="184"/>
      <c r="Z27" s="184"/>
      <c r="AA27" s="184"/>
      <c r="AB27" s="184"/>
      <c r="AC27" s="184"/>
    </row>
    <row r="28" spans="1:29" s="141" customFormat="1" ht="15.75" customHeight="1" outlineLevel="2">
      <c r="A28" s="193" t="s">
        <v>112</v>
      </c>
      <c r="B28" s="193"/>
      <c r="C28" s="190">
        <v>230</v>
      </c>
      <c r="D28" s="190">
        <v>306</v>
      </c>
      <c r="E28" s="190">
        <v>299</v>
      </c>
      <c r="F28" s="190">
        <v>287</v>
      </c>
      <c r="G28" s="190">
        <v>282</v>
      </c>
      <c r="H28" s="190">
        <v>223</v>
      </c>
      <c r="I28" s="190">
        <v>166</v>
      </c>
      <c r="J28" s="190">
        <v>193</v>
      </c>
      <c r="K28" s="191">
        <f t="shared" ref="K28:O28" si="43">188.04*LN(K24)-818.03-10</f>
        <v>207.05637210135683</v>
      </c>
      <c r="L28" s="191">
        <f t="shared" si="43"/>
        <v>208.12095843370048</v>
      </c>
      <c r="M28" s="191">
        <f t="shared" si="43"/>
        <v>209.12250185189987</v>
      </c>
      <c r="N28" s="191">
        <f t="shared" si="43"/>
        <v>210.12979705624116</v>
      </c>
      <c r="O28" s="191">
        <f t="shared" si="43"/>
        <v>211.14274153937549</v>
      </c>
      <c r="P28" s="408">
        <f>M28/J28-1</f>
        <v>8.3536279025387961E-2</v>
      </c>
      <c r="R28" s="340"/>
      <c r="S28" s="340"/>
      <c r="T28" s="340" t="s">
        <v>317</v>
      </c>
      <c r="U28" s="340" t="s">
        <v>322</v>
      </c>
      <c r="V28" s="184"/>
      <c r="W28" s="184"/>
      <c r="X28" s="184"/>
      <c r="Y28" s="184"/>
      <c r="Z28" s="184"/>
      <c r="AA28" s="184"/>
      <c r="AB28" s="184"/>
      <c r="AC28" s="184"/>
    </row>
    <row r="29" spans="1:29" s="141" customFormat="1" ht="15.75" customHeight="1" outlineLevel="2">
      <c r="A29" s="185" t="s">
        <v>115</v>
      </c>
      <c r="B29" s="185"/>
      <c r="C29" s="186">
        <f>C30*C31/1000</f>
        <v>110.295</v>
      </c>
      <c r="D29" s="186">
        <f t="shared" ref="D29:F29" si="44">D30*D31/1000</f>
        <v>166.34700000000001</v>
      </c>
      <c r="E29" s="186">
        <f t="shared" si="44"/>
        <v>198.43199999999999</v>
      </c>
      <c r="F29" s="186">
        <f t="shared" si="44"/>
        <v>206.59200000000001</v>
      </c>
      <c r="G29" s="186">
        <f>G30*G31/1000</f>
        <v>227.64239999999998</v>
      </c>
      <c r="H29" s="186">
        <f>H30*H31/1000</f>
        <v>170.19767160000001</v>
      </c>
      <c r="I29" s="186">
        <f>I30*I31/1000</f>
        <v>156.375</v>
      </c>
      <c r="J29" s="186">
        <f>J30*J31/1000</f>
        <v>137.75</v>
      </c>
      <c r="K29" s="187">
        <f>K30*K31/1000</f>
        <v>191.16031651213692</v>
      </c>
      <c r="L29" s="187">
        <f t="shared" ref="L29:M29" si="45">L30*L31/1000</f>
        <v>192.4481664815213</v>
      </c>
      <c r="M29" s="187">
        <f t="shared" si="45"/>
        <v>215.09393843271104</v>
      </c>
      <c r="N29" s="187">
        <f t="shared" ref="N29:O29" si="46">N30*N31/1000</f>
        <v>216.44735021150959</v>
      </c>
      <c r="O29" s="187">
        <f>O30*O31/1000</f>
        <v>217.80835241705441</v>
      </c>
      <c r="P29" s="183">
        <f>SUM(P26:P28)</f>
        <v>2315.0835362790253</v>
      </c>
      <c r="R29" s="339"/>
      <c r="S29" s="339"/>
      <c r="T29" s="339"/>
      <c r="U29" s="184"/>
      <c r="V29" s="184"/>
      <c r="W29" s="184"/>
      <c r="X29" s="184"/>
      <c r="Y29" s="184"/>
      <c r="Z29" s="184"/>
      <c r="AA29" s="184"/>
      <c r="AB29" s="184"/>
      <c r="AC29" s="184"/>
    </row>
    <row r="30" spans="1:29" ht="15.75" customHeight="1" outlineLevel="2">
      <c r="A30" s="188" t="s">
        <v>109</v>
      </c>
      <c r="B30" s="188"/>
      <c r="C30" s="186">
        <v>513</v>
      </c>
      <c r="D30" s="186">
        <v>549</v>
      </c>
      <c r="E30" s="186">
        <v>689</v>
      </c>
      <c r="F30" s="186">
        <v>807</v>
      </c>
      <c r="G30" s="186">
        <v>936.8</v>
      </c>
      <c r="H30" s="186">
        <v>859.58420000000001</v>
      </c>
      <c r="I30" s="186">
        <v>1125</v>
      </c>
      <c r="J30" s="186">
        <v>950</v>
      </c>
      <c r="K30" s="406">
        <v>1030</v>
      </c>
      <c r="L30" s="187">
        <f t="shared" ref="L30:O30" si="47">K30</f>
        <v>1030</v>
      </c>
      <c r="M30" s="327">
        <f>L30+114</f>
        <v>1144</v>
      </c>
      <c r="N30" s="187">
        <f t="shared" si="47"/>
        <v>1144</v>
      </c>
      <c r="O30" s="187">
        <f t="shared" si="47"/>
        <v>1144</v>
      </c>
      <c r="P30" s="183">
        <v>-600</v>
      </c>
      <c r="R30" s="340"/>
      <c r="S30" s="340"/>
      <c r="T30" s="340"/>
    </row>
    <row r="31" spans="1:29" ht="15.75" customHeight="1" outlineLevel="2">
      <c r="A31" s="193" t="s">
        <v>112</v>
      </c>
      <c r="B31" s="193"/>
      <c r="C31" s="190">
        <v>215</v>
      </c>
      <c r="D31" s="190">
        <v>303</v>
      </c>
      <c r="E31" s="190">
        <v>288</v>
      </c>
      <c r="F31" s="190">
        <v>256</v>
      </c>
      <c r="G31" s="190">
        <v>243</v>
      </c>
      <c r="H31" s="190">
        <v>198</v>
      </c>
      <c r="I31" s="190">
        <v>139</v>
      </c>
      <c r="J31" s="190">
        <v>145</v>
      </c>
      <c r="K31" s="191">
        <f t="shared" ref="K31:O31" si="48">220.85*LN(K24)-1030.1</f>
        <v>185.59254030304555</v>
      </c>
      <c r="L31" s="191">
        <f t="shared" si="48"/>
        <v>186.84288007914688</v>
      </c>
      <c r="M31" s="191">
        <f t="shared" si="48"/>
        <v>188.01917695167049</v>
      </c>
      <c r="N31" s="191">
        <f t="shared" si="48"/>
        <v>189.20222920586502</v>
      </c>
      <c r="O31" s="191">
        <f t="shared" si="48"/>
        <v>190.39191644847415</v>
      </c>
      <c r="P31" s="408">
        <f>M31/J31-1</f>
        <v>0.29668397897703791</v>
      </c>
      <c r="R31" s="340"/>
      <c r="S31" s="340"/>
      <c r="T31" s="340"/>
    </row>
    <row r="32" spans="1:29" ht="15.75" customHeight="1" outlineLevel="2">
      <c r="A32" s="185" t="s">
        <v>324</v>
      </c>
      <c r="B32" s="193"/>
      <c r="C32" s="190">
        <f t="shared" ref="C32:I32" si="49">C33*C36/1000</f>
        <v>0</v>
      </c>
      <c r="D32" s="190">
        <f t="shared" si="49"/>
        <v>0</v>
      </c>
      <c r="E32" s="190">
        <f t="shared" si="49"/>
        <v>0</v>
      </c>
      <c r="F32" s="190">
        <f t="shared" si="49"/>
        <v>0</v>
      </c>
      <c r="G32" s="190">
        <f t="shared" si="49"/>
        <v>0</v>
      </c>
      <c r="H32" s="190">
        <f t="shared" si="49"/>
        <v>0</v>
      </c>
      <c r="I32" s="190">
        <f t="shared" si="49"/>
        <v>0</v>
      </c>
      <c r="J32" s="186">
        <f>J33*J36/1000</f>
        <v>156.33000000000001</v>
      </c>
      <c r="K32" s="187">
        <f t="shared" ref="K32:N32" si="50">K33*K36/1000</f>
        <v>86.963676282569864</v>
      </c>
      <c r="L32" s="187">
        <f t="shared" si="50"/>
        <v>62.436287530110143</v>
      </c>
      <c r="M32" s="187">
        <f t="shared" si="50"/>
        <v>0</v>
      </c>
      <c r="N32" s="187">
        <f t="shared" si="50"/>
        <v>0</v>
      </c>
      <c r="O32" s="187">
        <f t="shared" ref="O32" si="51">O33*O36/1000</f>
        <v>0</v>
      </c>
      <c r="P32" s="183"/>
      <c r="Q32" s="1"/>
      <c r="R32" s="340"/>
      <c r="S32" s="340"/>
      <c r="T32" s="340"/>
    </row>
    <row r="33" spans="1:29" ht="15.75" customHeight="1" outlineLevel="2">
      <c r="A33" s="188" t="s">
        <v>109</v>
      </c>
      <c r="B33" s="193"/>
      <c r="C33" s="190">
        <v>0</v>
      </c>
      <c r="D33" s="190">
        <v>0</v>
      </c>
      <c r="E33" s="190">
        <v>0</v>
      </c>
      <c r="F33" s="190">
        <v>0</v>
      </c>
      <c r="G33" s="190">
        <v>0</v>
      </c>
      <c r="H33" s="190">
        <v>0</v>
      </c>
      <c r="I33" s="190">
        <v>0</v>
      </c>
      <c r="J33" s="186">
        <v>675</v>
      </c>
      <c r="K33" s="187">
        <v>350</v>
      </c>
      <c r="L33" s="187">
        <v>250</v>
      </c>
      <c r="M33" s="187">
        <v>0</v>
      </c>
      <c r="N33" s="187">
        <v>0</v>
      </c>
      <c r="O33" s="187">
        <v>0</v>
      </c>
      <c r="P33" s="183"/>
      <c r="Q33" s="1"/>
      <c r="R33" s="340"/>
      <c r="S33" s="340"/>
      <c r="T33" s="340"/>
    </row>
    <row r="34" spans="1:29" ht="15.75" customHeight="1" outlineLevel="2">
      <c r="A34" s="188" t="s">
        <v>325</v>
      </c>
      <c r="B34" s="193"/>
      <c r="C34" s="190">
        <v>0</v>
      </c>
      <c r="D34" s="190">
        <v>0</v>
      </c>
      <c r="E34" s="190">
        <v>0</v>
      </c>
      <c r="F34" s="190">
        <v>0</v>
      </c>
      <c r="G34" s="190">
        <v>0</v>
      </c>
      <c r="H34" s="190">
        <v>0</v>
      </c>
      <c r="I34" s="190">
        <v>0</v>
      </c>
      <c r="J34" s="186">
        <f>-600</f>
        <v>-600</v>
      </c>
      <c r="K34" s="187">
        <f>J34*K33/J33</f>
        <v>-311.11111111111109</v>
      </c>
      <c r="L34" s="187">
        <f>K34*L33/K33</f>
        <v>-222.2222222222222</v>
      </c>
      <c r="M34" s="187">
        <v>0</v>
      </c>
      <c r="N34" s="187">
        <v>0</v>
      </c>
      <c r="O34" s="187">
        <v>0</v>
      </c>
      <c r="P34" s="183"/>
      <c r="Q34" s="1"/>
      <c r="R34" s="340"/>
      <c r="S34" s="340"/>
      <c r="T34" s="340"/>
    </row>
    <row r="35" spans="1:29" ht="15.75" customHeight="1" outlineLevel="2">
      <c r="A35" s="188" t="s">
        <v>326</v>
      </c>
      <c r="B35" s="193"/>
      <c r="C35" s="190">
        <v>0</v>
      </c>
      <c r="D35" s="190">
        <v>0</v>
      </c>
      <c r="E35" s="190">
        <v>0</v>
      </c>
      <c r="F35" s="190">
        <v>0</v>
      </c>
      <c r="G35" s="190">
        <v>0</v>
      </c>
      <c r="H35" s="190">
        <v>0</v>
      </c>
      <c r="I35" s="190">
        <v>0</v>
      </c>
      <c r="J35" s="186">
        <v>-75</v>
      </c>
      <c r="K35" s="187">
        <f>J35*K33/J33</f>
        <v>-38.888888888888886</v>
      </c>
      <c r="L35" s="187">
        <f>K35*L33/K33</f>
        <v>-27.777777777777775</v>
      </c>
      <c r="M35" s="187">
        <v>0</v>
      </c>
      <c r="N35" s="187">
        <v>0</v>
      </c>
      <c r="O35" s="187">
        <v>0</v>
      </c>
      <c r="P35" s="183"/>
      <c r="Q35" s="1"/>
      <c r="R35" s="340"/>
      <c r="S35" s="340"/>
      <c r="T35" s="340"/>
    </row>
    <row r="36" spans="1:29" ht="15.75" customHeight="1" outlineLevel="2">
      <c r="A36" s="193" t="s">
        <v>112</v>
      </c>
      <c r="B36" s="193"/>
      <c r="C36" s="190">
        <f t="shared" ref="C36:I36" si="52">C28*1.2</f>
        <v>276</v>
      </c>
      <c r="D36" s="190">
        <f t="shared" si="52"/>
        <v>367.2</v>
      </c>
      <c r="E36" s="190">
        <f t="shared" si="52"/>
        <v>358.8</v>
      </c>
      <c r="F36" s="190">
        <f t="shared" si="52"/>
        <v>344.4</v>
      </c>
      <c r="G36" s="190">
        <f t="shared" si="52"/>
        <v>338.4</v>
      </c>
      <c r="H36" s="190">
        <f t="shared" si="52"/>
        <v>267.59999999999997</v>
      </c>
      <c r="I36" s="190">
        <f t="shared" si="52"/>
        <v>199.2</v>
      </c>
      <c r="J36" s="190">
        <f>J28*1.2</f>
        <v>231.6</v>
      </c>
      <c r="K36" s="353">
        <f t="shared" ref="K36:O36" si="53">K28*1.2</f>
        <v>248.46764652162818</v>
      </c>
      <c r="L36" s="353">
        <f t="shared" si="53"/>
        <v>249.74515012044057</v>
      </c>
      <c r="M36" s="353">
        <f t="shared" si="53"/>
        <v>250.94700222227982</v>
      </c>
      <c r="N36" s="353">
        <f t="shared" si="53"/>
        <v>252.15575646748937</v>
      </c>
      <c r="O36" s="353">
        <f>O28*1.2</f>
        <v>253.37128984725058</v>
      </c>
      <c r="P36" s="183"/>
      <c r="Q36" s="1"/>
      <c r="R36" s="340"/>
      <c r="S36" s="340"/>
      <c r="T36" s="340"/>
    </row>
    <row r="37" spans="1:29" s="141" customFormat="1" ht="15.75" customHeight="1" outlineLevel="1">
      <c r="A37" s="180" t="s">
        <v>116</v>
      </c>
      <c r="B37" s="180"/>
      <c r="C37" s="181">
        <f t="shared" ref="C37:I37" si="54">(C38+C35)*C40/1000</f>
        <v>866.23800000000006</v>
      </c>
      <c r="D37" s="181">
        <f t="shared" si="54"/>
        <v>1194.0060000000001</v>
      </c>
      <c r="E37" s="181">
        <f t="shared" si="54"/>
        <v>1128.771</v>
      </c>
      <c r="F37" s="181">
        <f t="shared" si="54"/>
        <v>948.51900000000001</v>
      </c>
      <c r="G37" s="181">
        <f t="shared" si="54"/>
        <v>901.10719999999992</v>
      </c>
      <c r="H37" s="181">
        <f t="shared" si="54"/>
        <v>882.80327460000001</v>
      </c>
      <c r="I37" s="181">
        <f>(I38+I35)*I40/1000</f>
        <v>572.22900000000004</v>
      </c>
      <c r="J37" s="181">
        <f>(J38+J35)*J40/1000</f>
        <v>568.16</v>
      </c>
      <c r="K37" s="182">
        <f t="shared" ref="K37:O37" si="55">(K38+K35)*K40/1000</f>
        <v>603.69117968382284</v>
      </c>
      <c r="L37" s="182">
        <f t="shared" si="55"/>
        <v>608.06515794205347</v>
      </c>
      <c r="M37" s="182">
        <f t="shared" si="55"/>
        <v>710.17771091693533</v>
      </c>
      <c r="N37" s="182">
        <f t="shared" si="55"/>
        <v>962.54315081416189</v>
      </c>
      <c r="O37" s="182">
        <f>(O38+O35)*O40/1000</f>
        <v>964.5863732479628</v>
      </c>
      <c r="P37" s="191">
        <f>-340</f>
        <v>-340</v>
      </c>
      <c r="R37" s="339"/>
      <c r="S37" s="339"/>
      <c r="T37" s="339"/>
      <c r="U37" s="184"/>
      <c r="V37" s="184"/>
      <c r="W37" s="184"/>
      <c r="X37" s="184"/>
      <c r="Y37" s="184"/>
      <c r="Z37" s="184"/>
      <c r="AA37" s="184"/>
      <c r="AB37" s="184"/>
      <c r="AC37" s="184"/>
    </row>
    <row r="38" spans="1:29" s="141" customFormat="1" ht="15.75" customHeight="1" outlineLevel="2">
      <c r="A38" s="185" t="s">
        <v>109</v>
      </c>
      <c r="B38" s="185"/>
      <c r="C38" s="186">
        <v>2447</v>
      </c>
      <c r="D38" s="186">
        <v>2607</v>
      </c>
      <c r="E38" s="186">
        <v>2583</v>
      </c>
      <c r="F38" s="186">
        <v>2613</v>
      </c>
      <c r="G38" s="186">
        <v>2531.1999999999998</v>
      </c>
      <c r="H38" s="186">
        <v>2484.7399999999998</v>
      </c>
      <c r="I38" s="186">
        <f>1953</f>
        <v>1953</v>
      </c>
      <c r="J38" s="186">
        <v>2219</v>
      </c>
      <c r="K38" s="187">
        <v>2250</v>
      </c>
      <c r="L38" s="187">
        <f t="shared" ref="L38:O39" si="56">K38</f>
        <v>2250</v>
      </c>
      <c r="M38" s="327">
        <f>L38+205+135</f>
        <v>2590</v>
      </c>
      <c r="N38" s="187">
        <f>M38+913</f>
        <v>3503</v>
      </c>
      <c r="O38" s="187">
        <f>N38</f>
        <v>3503</v>
      </c>
      <c r="P38" s="183"/>
      <c r="R38" s="340"/>
      <c r="S38" s="340"/>
      <c r="T38" s="340"/>
      <c r="U38" s="184"/>
      <c r="V38" s="184"/>
      <c r="W38" s="184"/>
      <c r="X38" s="184"/>
      <c r="Y38" s="184"/>
      <c r="Z38" s="184"/>
      <c r="AA38" s="184"/>
      <c r="AB38" s="184"/>
      <c r="AC38" s="184"/>
    </row>
    <row r="39" spans="1:29" s="141" customFormat="1" ht="15.75" customHeight="1" outlineLevel="2">
      <c r="A39" s="188" t="s">
        <v>110</v>
      </c>
      <c r="B39" s="188"/>
      <c r="C39" s="186">
        <v>691</v>
      </c>
      <c r="D39" s="186">
        <v>755</v>
      </c>
      <c r="E39" s="186">
        <v>851</v>
      </c>
      <c r="F39" s="186">
        <v>732</v>
      </c>
      <c r="G39" s="186">
        <v>716</v>
      </c>
      <c r="H39" s="186">
        <v>580</v>
      </c>
      <c r="I39" s="186">
        <v>0</v>
      </c>
      <c r="J39" s="186">
        <v>0</v>
      </c>
      <c r="K39" s="187">
        <f t="shared" ref="K39" si="57">J39</f>
        <v>0</v>
      </c>
      <c r="L39" s="187">
        <f t="shared" si="56"/>
        <v>0</v>
      </c>
      <c r="M39" s="187">
        <f t="shared" ref="M39" si="58">L39</f>
        <v>0</v>
      </c>
      <c r="N39" s="187">
        <f t="shared" si="56"/>
        <v>0</v>
      </c>
      <c r="O39" s="187">
        <f t="shared" si="56"/>
        <v>0</v>
      </c>
      <c r="P39" s="183"/>
      <c r="R39" s="339"/>
      <c r="S39" s="339"/>
      <c r="T39" s="339"/>
      <c r="U39" s="184"/>
      <c r="V39" s="278"/>
      <c r="W39" s="278"/>
      <c r="X39" s="278"/>
      <c r="Y39" s="184"/>
      <c r="Z39" s="184"/>
      <c r="AA39" s="184"/>
      <c r="AB39" s="184"/>
      <c r="AC39" s="184"/>
    </row>
    <row r="40" spans="1:29" s="141" customFormat="1" ht="15.75" customHeight="1" outlineLevel="2">
      <c r="A40" s="189" t="s">
        <v>118</v>
      </c>
      <c r="B40" s="189"/>
      <c r="C40" s="190">
        <v>354</v>
      </c>
      <c r="D40" s="190">
        <v>458</v>
      </c>
      <c r="E40" s="190">
        <v>437</v>
      </c>
      <c r="F40" s="190">
        <v>363</v>
      </c>
      <c r="G40" s="190">
        <v>356</v>
      </c>
      <c r="H40" s="190">
        <v>355.29</v>
      </c>
      <c r="I40" s="190">
        <v>293</v>
      </c>
      <c r="J40" s="190">
        <v>265</v>
      </c>
      <c r="K40" s="191">
        <f>K41+K50</f>
        <v>273.02616166605048</v>
      </c>
      <c r="L40" s="191">
        <f t="shared" ref="L40:M40" si="59">L41+L50</f>
        <v>273.62932107392407</v>
      </c>
      <c r="M40" s="191">
        <f t="shared" si="59"/>
        <v>274.19988838491713</v>
      </c>
      <c r="N40" s="191">
        <f>N41+N50</f>
        <v>274.77680582762258</v>
      </c>
      <c r="O40" s="191">
        <f t="shared" ref="N40:O40" si="60">O41+O50</f>
        <v>275.36008371337789</v>
      </c>
      <c r="P40" s="183"/>
      <c r="R40" s="340"/>
      <c r="S40" s="340"/>
      <c r="T40" s="340"/>
      <c r="U40" s="184"/>
      <c r="V40" s="278"/>
      <c r="W40" s="278"/>
      <c r="X40" s="278"/>
      <c r="Y40" s="184"/>
      <c r="Z40" s="184"/>
      <c r="AA40" s="184"/>
      <c r="AB40" s="184"/>
      <c r="AC40" s="184"/>
    </row>
    <row r="41" spans="1:29" s="141" customFormat="1" ht="15.75" customHeight="1" outlineLevel="2">
      <c r="A41" s="194" t="s">
        <v>119</v>
      </c>
      <c r="B41" s="194"/>
      <c r="C41" s="190">
        <f t="shared" ref="C41:K41" si="61">C42/0.6*0.16+C43/0.46*0.16+((C44-0.18*C43/0.46)/0.46)*0.16</f>
        <v>320.99508506616257</v>
      </c>
      <c r="D41" s="190">
        <f t="shared" si="61"/>
        <v>413.80264650283556</v>
      </c>
      <c r="E41" s="190">
        <f t="shared" si="61"/>
        <v>398.98374291115317</v>
      </c>
      <c r="F41" s="190">
        <f>F42/0.6*0.16+F43/0.46*0.16+((F44-0.18*F43/0.46)/0.46)*0.16</f>
        <v>330.48468809073722</v>
      </c>
      <c r="G41" s="190">
        <f>G42/0.6*0.16+G43/0.46*0.16+((G44-0.18*G43/0.46)/0.46)*0.16</f>
        <v>311.4449905482042</v>
      </c>
      <c r="H41" s="190">
        <f>H42/0.6*0.16+H43/0.46*0.16+((H44-0.18*H43/0.46)/0.46)*0.16</f>
        <v>297.75828607435415</v>
      </c>
      <c r="I41" s="190">
        <f>I42/0.6*0.16+I43/0.46*0.16+((I44-0.18*I43/0.46)/0.46)*0.16</f>
        <v>221.96415879017013</v>
      </c>
      <c r="J41" s="190">
        <f>J42/0.6*0.16+J43/0.46*0.16+((J44-0.18*J43/0.46)/0.46)*0.16</f>
        <v>220.74051669817268</v>
      </c>
      <c r="K41" s="191">
        <f t="shared" si="61"/>
        <v>227.38667600127422</v>
      </c>
      <c r="L41" s="191">
        <f t="shared" ref="L41:M41" si="62">L42/0.6*0.16+L43/0.46*0.16+((L44-0.18*L43/0.46)/0.46)*0.16</f>
        <v>227.98983540914782</v>
      </c>
      <c r="M41" s="191">
        <f t="shared" si="62"/>
        <v>228.56040272014087</v>
      </c>
      <c r="N41" s="191">
        <f t="shared" ref="N41:O41" si="63">N42/0.6*0.16+N43/0.46*0.16+((N44-0.18*N43/0.46)/0.46)*0.16</f>
        <v>229.13732016284629</v>
      </c>
      <c r="O41" s="191">
        <f t="shared" si="63"/>
        <v>229.72059804860157</v>
      </c>
      <c r="P41" s="183"/>
      <c r="R41" s="339"/>
      <c r="S41" s="339"/>
      <c r="T41" s="339"/>
      <c r="U41" s="184"/>
      <c r="V41" s="278"/>
      <c r="W41" s="278"/>
      <c r="X41" s="278"/>
      <c r="Y41" s="184"/>
      <c r="Z41" s="184"/>
      <c r="AA41" s="184"/>
      <c r="AB41" s="184"/>
      <c r="AC41" s="184"/>
    </row>
    <row r="42" spans="1:29" s="141" customFormat="1" ht="15.75" customHeight="1" outlineLevel="2">
      <c r="A42" s="193" t="s">
        <v>276</v>
      </c>
      <c r="B42" s="193"/>
      <c r="C42" s="190">
        <v>336</v>
      </c>
      <c r="D42" s="190">
        <v>429</v>
      </c>
      <c r="E42" s="190">
        <v>456</v>
      </c>
      <c r="F42" s="190">
        <v>381</v>
      </c>
      <c r="G42" s="190">
        <v>291</v>
      </c>
      <c r="H42" s="190">
        <v>287</v>
      </c>
      <c r="I42" s="190">
        <v>237</v>
      </c>
      <c r="J42" s="190">
        <v>206</v>
      </c>
      <c r="K42" s="191">
        <f>J42</f>
        <v>206</v>
      </c>
      <c r="L42" s="191">
        <f t="shared" ref="L42:O42" si="64">K42</f>
        <v>206</v>
      </c>
      <c r="M42" s="191">
        <f t="shared" si="64"/>
        <v>206</v>
      </c>
      <c r="N42" s="191">
        <f t="shared" si="64"/>
        <v>206</v>
      </c>
      <c r="O42" s="191">
        <f t="shared" si="64"/>
        <v>206</v>
      </c>
      <c r="P42" s="183"/>
      <c r="R42" s="339"/>
      <c r="S42" s="339"/>
      <c r="T42" s="339" t="s">
        <v>319</v>
      </c>
      <c r="U42" s="184"/>
      <c r="V42" s="278"/>
      <c r="W42" s="278"/>
      <c r="X42" s="278"/>
      <c r="Y42" s="184"/>
      <c r="Z42" s="184"/>
      <c r="AA42" s="184"/>
      <c r="AB42" s="184"/>
      <c r="AC42" s="184"/>
    </row>
    <row r="43" spans="1:29" s="141" customFormat="1" ht="15.75" customHeight="1" outlineLevel="2">
      <c r="A43" s="193" t="s">
        <v>120</v>
      </c>
      <c r="B43" s="193"/>
      <c r="C43" s="190">
        <f>C24</f>
        <v>283</v>
      </c>
      <c r="D43" s="190">
        <f t="shared" ref="D43:K43" si="65">D24</f>
        <v>412</v>
      </c>
      <c r="E43" s="190">
        <f t="shared" si="65"/>
        <v>400</v>
      </c>
      <c r="F43" s="190">
        <f t="shared" si="65"/>
        <v>327</v>
      </c>
      <c r="G43" s="190">
        <f t="shared" si="65"/>
        <v>311</v>
      </c>
      <c r="H43" s="190">
        <f t="shared" si="65"/>
        <v>267</v>
      </c>
      <c r="I43" s="190">
        <f t="shared" si="65"/>
        <v>194</v>
      </c>
      <c r="J43" s="190">
        <f t="shared" si="65"/>
        <v>218</v>
      </c>
      <c r="K43" s="191">
        <f t="shared" si="65"/>
        <v>245.82192260516661</v>
      </c>
      <c r="L43" s="191">
        <f t="shared" ref="L43:M43" si="66">L24</f>
        <v>247.21758768168925</v>
      </c>
      <c r="M43" s="191">
        <f t="shared" si="66"/>
        <v>248.53783712049994</v>
      </c>
      <c r="N43" s="191">
        <f t="shared" ref="N43:O43" si="67">N24</f>
        <v>249.87278028197579</v>
      </c>
      <c r="O43" s="191">
        <f t="shared" si="67"/>
        <v>251.2224410257692</v>
      </c>
      <c r="P43" s="183"/>
      <c r="U43" s="340" t="s">
        <v>322</v>
      </c>
      <c r="V43" s="278"/>
      <c r="W43" s="278"/>
      <c r="X43" s="278"/>
      <c r="Y43" s="184"/>
      <c r="Z43" s="184"/>
      <c r="AA43" s="184"/>
      <c r="AB43" s="184"/>
      <c r="AC43" s="184"/>
    </row>
    <row r="44" spans="1:29" s="141" customFormat="1" ht="15.75" customHeight="1" outlineLevel="2">
      <c r="A44" s="193" t="s">
        <v>121</v>
      </c>
      <c r="B44" s="193"/>
      <c r="C44" s="190">
        <v>493</v>
      </c>
      <c r="D44" s="190">
        <v>610</v>
      </c>
      <c r="E44" s="190">
        <v>554</v>
      </c>
      <c r="F44" s="190">
        <v>459</v>
      </c>
      <c r="G44" s="190">
        <v>483</v>
      </c>
      <c r="H44" s="190">
        <v>473.5</v>
      </c>
      <c r="I44" s="190">
        <v>338.36</v>
      </c>
      <c r="J44" s="190">
        <v>344</v>
      </c>
      <c r="K44" s="191">
        <f>K45+K49</f>
        <v>346.17262467153296</v>
      </c>
      <c r="L44" s="191">
        <f t="shared" ref="L44:M44" si="68">L45+L49</f>
        <v>347.05717270519921</v>
      </c>
      <c r="M44" s="191">
        <f t="shared" si="68"/>
        <v>347.89392363111523</v>
      </c>
      <c r="N44" s="191">
        <f>N45+N49</f>
        <v>348.73998718060358</v>
      </c>
      <c r="O44" s="191">
        <f>O45+O49</f>
        <v>349.59537847549319</v>
      </c>
      <c r="P44" s="183"/>
      <c r="R44" s="339"/>
      <c r="S44" s="339"/>
      <c r="T44" s="339"/>
      <c r="U44" s="184"/>
      <c r="V44" s="278"/>
      <c r="W44" s="278"/>
      <c r="X44" s="278"/>
      <c r="Y44" s="184"/>
      <c r="Z44" s="184"/>
      <c r="AA44" s="184"/>
      <c r="AB44" s="184"/>
      <c r="AC44" s="184"/>
    </row>
    <row r="45" spans="1:29" s="141" customFormat="1" ht="15.75" customHeight="1" outlineLevel="2">
      <c r="A45" s="195" t="s">
        <v>122</v>
      </c>
      <c r="B45" s="195"/>
      <c r="C45" s="190">
        <f t="shared" ref="C45:K45" si="69">0.23*C46+AVERAGE(1.65,1.9)*C47+0.44*C48+40+15</f>
        <v>401.31</v>
      </c>
      <c r="D45" s="190">
        <f t="shared" si="69"/>
        <v>579.38499999999999</v>
      </c>
      <c r="E45" s="190">
        <f t="shared" si="69"/>
        <v>584.83500000000004</v>
      </c>
      <c r="F45" s="190">
        <f t="shared" si="69"/>
        <v>471.96999999999997</v>
      </c>
      <c r="G45" s="190">
        <f>0.23*G46+AVERAGE(1.65,1.9)*G47+0.44*G48+40+15</f>
        <v>429.26</v>
      </c>
      <c r="H45" s="190">
        <f>0.23*H46+AVERAGE(1.65,1.9)*H47+0.44*H48+40+15</f>
        <v>417.97899999999998</v>
      </c>
      <c r="I45" s="190">
        <f>0.23*I46+AVERAGE(1.65,1.9)*I47+0.44*I48+40+15</f>
        <v>334.25024999999999</v>
      </c>
      <c r="J45" s="190">
        <f>0.23*J46+AVERAGE(1.65,1.9)*J47+0.44*J48+40+15</f>
        <v>311.92249999999996</v>
      </c>
      <c r="K45" s="191">
        <f t="shared" si="69"/>
        <v>318.17909342153297</v>
      </c>
      <c r="L45" s="191">
        <f t="shared" ref="L45" si="70">0.23*L46+AVERAGE(1.65,1.9)*L47+0.44*L48+40+15</f>
        <v>319.06364145519922</v>
      </c>
      <c r="M45" s="191">
        <f>0.23*M46+AVERAGE(1.65,1.9)*M47+0.44*M48+40+15</f>
        <v>319.90039238111524</v>
      </c>
      <c r="N45" s="191">
        <f>0.23*N46+AVERAGE(1.65,1.9)*N47+0.44*N48+40+15</f>
        <v>320.74645593060359</v>
      </c>
      <c r="O45" s="191">
        <f>0.23*O46+AVERAGE(1.65,1.9)*O47+0.44*O48+40+15</f>
        <v>321.6018472254932</v>
      </c>
      <c r="P45" s="183"/>
      <c r="R45" s="339"/>
      <c r="S45" s="339"/>
      <c r="T45" s="339"/>
      <c r="U45" s="184"/>
      <c r="V45" s="278"/>
      <c r="W45" s="278"/>
      <c r="X45" s="278"/>
      <c r="Y45" s="184"/>
      <c r="Z45" s="184"/>
      <c r="AA45" s="184"/>
      <c r="AB45" s="184"/>
      <c r="AC45" s="184"/>
    </row>
    <row r="46" spans="1:29" s="141" customFormat="1" ht="15.75" customHeight="1" outlineLevel="2">
      <c r="A46" s="196" t="s">
        <v>123</v>
      </c>
      <c r="B46" s="196"/>
      <c r="C46" s="190">
        <f t="shared" ref="C46:I46" si="71">C19</f>
        <v>367</v>
      </c>
      <c r="D46" s="190">
        <f t="shared" si="71"/>
        <v>527</v>
      </c>
      <c r="E46" s="190">
        <f t="shared" si="71"/>
        <v>560</v>
      </c>
      <c r="F46" s="190">
        <f t="shared" si="71"/>
        <v>489</v>
      </c>
      <c r="G46" s="190">
        <f t="shared" si="71"/>
        <v>499</v>
      </c>
      <c r="H46" s="190">
        <f t="shared" si="71"/>
        <v>389.8</v>
      </c>
      <c r="I46" s="190">
        <f t="shared" si="71"/>
        <v>237</v>
      </c>
      <c r="J46" s="190">
        <f>J19</f>
        <v>267</v>
      </c>
      <c r="K46" s="191">
        <f>K19</f>
        <v>316.43084096318688</v>
      </c>
      <c r="L46" s="191">
        <f t="shared" ref="L46:M46" si="72">L19</f>
        <v>320.2767019791271</v>
      </c>
      <c r="M46" s="191">
        <f t="shared" si="72"/>
        <v>323.91474948310974</v>
      </c>
      <c r="N46" s="191">
        <f t="shared" ref="N46:O46" si="73">N19</f>
        <v>327.59328665479819</v>
      </c>
      <c r="O46" s="191">
        <f t="shared" si="73"/>
        <v>331.31237924127493</v>
      </c>
      <c r="P46" s="183"/>
      <c r="R46" s="339"/>
      <c r="S46" s="339"/>
      <c r="T46" s="339"/>
      <c r="U46" s="184"/>
      <c r="V46" s="278"/>
      <c r="W46" s="278"/>
      <c r="X46" s="278"/>
      <c r="Y46" s="184"/>
      <c r="Z46" s="184"/>
      <c r="AA46" s="184"/>
      <c r="AB46" s="184"/>
      <c r="AC46" s="184"/>
    </row>
    <row r="47" spans="1:29" s="141" customFormat="1" ht="15.75" customHeight="1" outlineLevel="2">
      <c r="A47" s="196" t="s">
        <v>124</v>
      </c>
      <c r="B47" s="196"/>
      <c r="C47" s="190">
        <v>124</v>
      </c>
      <c r="D47" s="190">
        <v>185</v>
      </c>
      <c r="E47" s="190">
        <v>189</v>
      </c>
      <c r="F47" s="190">
        <v>148</v>
      </c>
      <c r="G47" s="190">
        <v>110</v>
      </c>
      <c r="H47" s="190">
        <v>123</v>
      </c>
      <c r="I47" s="190">
        <v>109.51</v>
      </c>
      <c r="J47" s="190">
        <v>92.3</v>
      </c>
      <c r="K47" s="405">
        <v>80</v>
      </c>
      <c r="L47" s="191">
        <f t="shared" ref="L47:O50" si="74">K47</f>
        <v>80</v>
      </c>
      <c r="M47" s="191">
        <f t="shared" ref="M47:M50" si="75">L47</f>
        <v>80</v>
      </c>
      <c r="N47" s="191">
        <f t="shared" si="74"/>
        <v>80</v>
      </c>
      <c r="O47" s="191">
        <f t="shared" si="74"/>
        <v>80</v>
      </c>
      <c r="P47" s="183"/>
      <c r="U47" s="184" t="s">
        <v>321</v>
      </c>
      <c r="V47" s="278"/>
      <c r="W47" s="278"/>
      <c r="X47" s="278"/>
      <c r="Y47" s="184"/>
      <c r="Z47" s="184"/>
      <c r="AA47" s="184"/>
      <c r="AB47" s="184"/>
      <c r="AC47" s="184"/>
    </row>
    <row r="48" spans="1:29" s="141" customFormat="1" ht="15.75" customHeight="1" outlineLevel="2">
      <c r="A48" s="196" t="s">
        <v>275</v>
      </c>
      <c r="B48" s="196"/>
      <c r="C48" s="190">
        <v>95</v>
      </c>
      <c r="D48" s="190">
        <v>170</v>
      </c>
      <c r="E48" s="190">
        <v>149</v>
      </c>
      <c r="F48" s="190">
        <v>95</v>
      </c>
      <c r="G48" s="190">
        <v>146</v>
      </c>
      <c r="H48" s="190">
        <v>125</v>
      </c>
      <c r="I48" s="190">
        <v>69</v>
      </c>
      <c r="J48" s="190">
        <v>72</v>
      </c>
      <c r="K48" s="405">
        <v>110</v>
      </c>
      <c r="L48" s="191">
        <f t="shared" si="74"/>
        <v>110</v>
      </c>
      <c r="M48" s="191">
        <f t="shared" si="75"/>
        <v>110</v>
      </c>
      <c r="N48" s="191">
        <f t="shared" si="74"/>
        <v>110</v>
      </c>
      <c r="O48" s="191">
        <f t="shared" si="74"/>
        <v>110</v>
      </c>
      <c r="P48" s="183" t="s">
        <v>211</v>
      </c>
      <c r="R48" s="339"/>
      <c r="S48" s="339"/>
      <c r="T48" s="339"/>
      <c r="U48" s="184"/>
      <c r="V48" s="278"/>
      <c r="W48" s="278"/>
      <c r="X48" s="278"/>
      <c r="Y48" s="184"/>
      <c r="Z48" s="184"/>
      <c r="AA48" s="184"/>
      <c r="AB48" s="184"/>
      <c r="AC48" s="184"/>
    </row>
    <row r="49" spans="1:29" s="141" customFormat="1" ht="15.75" customHeight="1" outlineLevel="2">
      <c r="A49" s="193" t="s">
        <v>125</v>
      </c>
      <c r="B49" s="193"/>
      <c r="C49" s="190">
        <f t="shared" ref="C49:I49" si="76">C44-C45</f>
        <v>91.69</v>
      </c>
      <c r="D49" s="190">
        <f t="shared" si="76"/>
        <v>30.615000000000009</v>
      </c>
      <c r="E49" s="190">
        <f t="shared" si="76"/>
        <v>-30.835000000000036</v>
      </c>
      <c r="F49" s="190">
        <f t="shared" si="76"/>
        <v>-12.96999999999997</v>
      </c>
      <c r="G49" s="190">
        <f t="shared" si="76"/>
        <v>53.740000000000009</v>
      </c>
      <c r="H49" s="190">
        <f t="shared" si="76"/>
        <v>55.521000000000015</v>
      </c>
      <c r="I49" s="190">
        <f>I44-I45</f>
        <v>4.1097500000000196</v>
      </c>
      <c r="J49" s="190">
        <f>J44-J45</f>
        <v>32.077500000000043</v>
      </c>
      <c r="K49" s="191">
        <f>AVERAGE(C49:J49)</f>
        <v>27.993531250000011</v>
      </c>
      <c r="L49" s="191">
        <f t="shared" si="74"/>
        <v>27.993531250000011</v>
      </c>
      <c r="M49" s="191">
        <f t="shared" si="75"/>
        <v>27.993531250000011</v>
      </c>
      <c r="N49" s="191">
        <f t="shared" si="74"/>
        <v>27.993531250000011</v>
      </c>
      <c r="O49" s="191">
        <f t="shared" si="74"/>
        <v>27.993531250000011</v>
      </c>
      <c r="P49" s="183"/>
      <c r="R49" s="339"/>
      <c r="S49" s="339"/>
      <c r="T49" s="339"/>
      <c r="U49" s="184"/>
      <c r="V49" s="278"/>
      <c r="W49" s="278"/>
      <c r="X49" s="278"/>
      <c r="Y49" s="184"/>
      <c r="Z49" s="184"/>
      <c r="AA49" s="184"/>
      <c r="AB49" s="184"/>
      <c r="AC49" s="184"/>
    </row>
    <row r="50" spans="1:29" s="141" customFormat="1" ht="15.75" customHeight="1" outlineLevel="2">
      <c r="A50" s="194" t="s">
        <v>126</v>
      </c>
      <c r="B50" s="194"/>
      <c r="C50" s="190">
        <f t="shared" ref="C50:I50" si="77">C40-C41</f>
        <v>33.004914933837426</v>
      </c>
      <c r="D50" s="190">
        <f t="shared" si="77"/>
        <v>44.197353497164443</v>
      </c>
      <c r="E50" s="190">
        <f t="shared" si="77"/>
        <v>38.016257088846828</v>
      </c>
      <c r="F50" s="190">
        <f t="shared" si="77"/>
        <v>32.515311909262778</v>
      </c>
      <c r="G50" s="190">
        <f t="shared" si="77"/>
        <v>44.555009451795797</v>
      </c>
      <c r="H50" s="190">
        <f t="shared" si="77"/>
        <v>57.531713925645874</v>
      </c>
      <c r="I50" s="190">
        <f>I40-I41</f>
        <v>71.035841209829869</v>
      </c>
      <c r="J50" s="190">
        <f>J40-J41</f>
        <v>44.259483301827316</v>
      </c>
      <c r="K50" s="191">
        <f>AVERAGE(C50:J50)</f>
        <v>45.639485664776288</v>
      </c>
      <c r="L50" s="191">
        <f t="shared" si="74"/>
        <v>45.639485664776288</v>
      </c>
      <c r="M50" s="191">
        <f t="shared" si="75"/>
        <v>45.639485664776288</v>
      </c>
      <c r="N50" s="191">
        <f t="shared" si="74"/>
        <v>45.639485664776288</v>
      </c>
      <c r="O50" s="191">
        <f t="shared" si="74"/>
        <v>45.639485664776288</v>
      </c>
      <c r="P50" s="183"/>
      <c r="R50" s="339"/>
      <c r="S50" s="339"/>
      <c r="T50" s="339"/>
      <c r="U50" s="184"/>
      <c r="V50" s="278"/>
      <c r="W50" s="278"/>
      <c r="X50" s="278"/>
      <c r="Y50" s="184"/>
      <c r="Z50" s="184"/>
      <c r="AA50" s="184"/>
      <c r="AB50" s="184"/>
      <c r="AC50" s="184"/>
    </row>
    <row r="51" spans="1:29" s="141" customFormat="1" ht="15.75" customHeight="1" outlineLevel="1">
      <c r="A51" s="180" t="s">
        <v>127</v>
      </c>
      <c r="B51" s="180"/>
      <c r="C51" s="181">
        <f t="shared" ref="C51:I51" si="78">C9-C15-C20-C37-C56</f>
        <v>95.281272068511157</v>
      </c>
      <c r="D51" s="181">
        <f t="shared" si="78"/>
        <v>254.15951088435372</v>
      </c>
      <c r="E51" s="181">
        <f t="shared" si="78"/>
        <v>384.92542451952545</v>
      </c>
      <c r="F51" s="181">
        <f t="shared" si="78"/>
        <v>405.04416387831526</v>
      </c>
      <c r="G51" s="181">
        <f t="shared" si="78"/>
        <v>259.96084652571915</v>
      </c>
      <c r="H51" s="181">
        <f t="shared" si="78"/>
        <v>221.25036813961009</v>
      </c>
      <c r="I51" s="181">
        <f>I9-I15-I20-I37-I56</f>
        <v>127.50211781951165</v>
      </c>
      <c r="J51" s="181">
        <f>J9-J15-J20-J37-J56</f>
        <v>145.12705441319503</v>
      </c>
      <c r="K51" s="182">
        <f t="shared" ref="K51:M51" si="79">J9*K52</f>
        <v>154.92762662651899</v>
      </c>
      <c r="L51" s="182">
        <f t="shared" si="79"/>
        <v>169.69191625881243</v>
      </c>
      <c r="M51" s="182">
        <f t="shared" si="79"/>
        <v>174.26107116989857</v>
      </c>
      <c r="N51" s="182">
        <f>M9*N52</f>
        <v>189.58245174588501</v>
      </c>
      <c r="O51" s="182">
        <f>N9*O52</f>
        <v>212.9771497954863</v>
      </c>
      <c r="P51" s="183" t="s">
        <v>128</v>
      </c>
      <c r="R51" s="340"/>
      <c r="S51" s="340"/>
      <c r="T51" s="340"/>
      <c r="U51" s="184"/>
      <c r="V51" s="278"/>
      <c r="W51" s="278"/>
      <c r="X51" s="278"/>
      <c r="Y51" s="184"/>
      <c r="Z51" s="184"/>
      <c r="AA51" s="184"/>
      <c r="AB51" s="184"/>
      <c r="AC51" s="184"/>
    </row>
    <row r="52" spans="1:29" s="141" customFormat="1" ht="15.75" customHeight="1" outlineLevel="1">
      <c r="A52" s="189" t="s">
        <v>183</v>
      </c>
      <c r="B52" s="194"/>
      <c r="C52" s="331">
        <f>C51/C9</f>
        <v>6.5014146177012594E-2</v>
      </c>
      <c r="D52" s="331">
        <f t="shared" ref="D52:I52" si="80">D51/AVERAGE(C9:D9)</f>
        <v>0.14066932742119478</v>
      </c>
      <c r="E52" s="331">
        <f t="shared" si="80"/>
        <v>0.17592377971722192</v>
      </c>
      <c r="F52" s="331">
        <f t="shared" si="80"/>
        <v>0.18850621477971169</v>
      </c>
      <c r="G52" s="331">
        <f t="shared" si="80"/>
        <v>0.1326428222149092</v>
      </c>
      <c r="H52" s="331">
        <f t="shared" si="80"/>
        <v>0.1260718109579673</v>
      </c>
      <c r="I52" s="331">
        <f t="shared" si="80"/>
        <v>8.6825304717134288E-2</v>
      </c>
      <c r="J52" s="331">
        <f>J51/AVERAGE(I9:J9)</f>
        <v>0.10268410674587887</v>
      </c>
      <c r="K52" s="332">
        <v>0.1</v>
      </c>
      <c r="L52" s="332">
        <f t="shared" ref="K52:O52" si="81">K52</f>
        <v>0.1</v>
      </c>
      <c r="M52" s="332">
        <f t="shared" si="81"/>
        <v>0.1</v>
      </c>
      <c r="N52" s="332">
        <f t="shared" si="81"/>
        <v>0.1</v>
      </c>
      <c r="O52" s="332">
        <f t="shared" si="81"/>
        <v>0.1</v>
      </c>
      <c r="P52" s="183"/>
      <c r="R52" s="340"/>
      <c r="S52" s="340"/>
      <c r="T52" s="340"/>
      <c r="U52" s="184"/>
      <c r="V52" s="278"/>
      <c r="W52" s="278"/>
      <c r="X52" s="278"/>
      <c r="Y52" s="184"/>
      <c r="Z52" s="184"/>
      <c r="AA52" s="184"/>
      <c r="AB52" s="184"/>
      <c r="AC52" s="184"/>
    </row>
    <row r="53" spans="1:29" s="141" customFormat="1" ht="15.75" customHeight="1" outlineLevel="1">
      <c r="A53" s="180" t="s">
        <v>285</v>
      </c>
      <c r="B53" s="180"/>
      <c r="C53" s="181">
        <f>C54*C55/1000</f>
        <v>0</v>
      </c>
      <c r="D53" s="181">
        <f t="shared" ref="D53:M53" si="82">D54*D55/1000</f>
        <v>0</v>
      </c>
      <c r="E53" s="181">
        <f t="shared" si="82"/>
        <v>0</v>
      </c>
      <c r="F53" s="181">
        <f t="shared" si="82"/>
        <v>0</v>
      </c>
      <c r="G53" s="181">
        <f t="shared" si="82"/>
        <v>0</v>
      </c>
      <c r="H53" s="181">
        <f t="shared" si="82"/>
        <v>0</v>
      </c>
      <c r="I53" s="181">
        <f t="shared" si="82"/>
        <v>0</v>
      </c>
      <c r="J53" s="181">
        <f t="shared" si="82"/>
        <v>0</v>
      </c>
      <c r="K53" s="182">
        <f t="shared" si="82"/>
        <v>0</v>
      </c>
      <c r="L53" s="182">
        <f t="shared" si="82"/>
        <v>0</v>
      </c>
      <c r="M53" s="182">
        <f t="shared" si="82"/>
        <v>0</v>
      </c>
      <c r="N53" s="182">
        <f>N54*N55/1000</f>
        <v>0</v>
      </c>
      <c r="O53" s="182">
        <f>O54*O55/1000</f>
        <v>0</v>
      </c>
      <c r="P53" s="183"/>
      <c r="R53" s="340"/>
      <c r="S53" s="340"/>
      <c r="T53" s="340"/>
      <c r="U53" s="184"/>
      <c r="V53" s="278"/>
      <c r="W53" s="278"/>
      <c r="X53" s="278"/>
      <c r="Y53" s="184"/>
      <c r="Z53" s="184"/>
      <c r="AA53" s="184"/>
      <c r="AB53" s="184"/>
      <c r="AC53" s="184"/>
    </row>
    <row r="54" spans="1:29" s="141" customFormat="1" ht="15.75" customHeight="1" outlineLevel="1">
      <c r="A54" s="185" t="s">
        <v>109</v>
      </c>
      <c r="B54" s="197"/>
      <c r="C54" s="186">
        <v>0</v>
      </c>
      <c r="D54" s="186">
        <v>0</v>
      </c>
      <c r="E54" s="186">
        <v>0</v>
      </c>
      <c r="F54" s="186">
        <v>0</v>
      </c>
      <c r="G54" s="186">
        <v>0</v>
      </c>
      <c r="H54" s="186">
        <v>0</v>
      </c>
      <c r="I54" s="186">
        <v>0</v>
      </c>
      <c r="J54" s="186">
        <v>0</v>
      </c>
      <c r="K54" s="187">
        <v>0</v>
      </c>
      <c r="L54" s="187">
        <v>0</v>
      </c>
      <c r="M54" s="187">
        <v>0</v>
      </c>
      <c r="N54" s="327">
        <v>0</v>
      </c>
      <c r="O54" s="327">
        <v>0</v>
      </c>
      <c r="P54" s="183"/>
      <c r="R54" s="340"/>
      <c r="S54" s="340"/>
      <c r="T54" s="340"/>
      <c r="U54" s="184"/>
      <c r="V54" s="278"/>
      <c r="W54" s="278"/>
      <c r="X54" s="278"/>
      <c r="Y54" s="184"/>
      <c r="Z54" s="184"/>
      <c r="AA54" s="184"/>
      <c r="AB54" s="184"/>
      <c r="AC54" s="184"/>
    </row>
    <row r="55" spans="1:29" s="141" customFormat="1" ht="15.75" customHeight="1" outlineLevel="1">
      <c r="A55" s="189" t="s">
        <v>121</v>
      </c>
      <c r="B55" s="197"/>
      <c r="C55" s="190">
        <v>448.66600790513837</v>
      </c>
      <c r="D55" s="190">
        <v>585.35714285714289</v>
      </c>
      <c r="E55" s="190">
        <v>573.35093197695005</v>
      </c>
      <c r="F55" s="190">
        <v>475.72539328838297</v>
      </c>
      <c r="G55" s="190">
        <v>454.96915345103275</v>
      </c>
      <c r="H55" s="190">
        <v>443.73290990133887</v>
      </c>
      <c r="I55" s="190">
        <v>338</v>
      </c>
      <c r="J55" s="190">
        <v>344</v>
      </c>
      <c r="K55" s="353">
        <f>J55*K44/J44</f>
        <v>346.17262467153296</v>
      </c>
      <c r="L55" s="353">
        <f t="shared" ref="L55:O55" si="83">K55*L44/K44</f>
        <v>347.05717270519921</v>
      </c>
      <c r="M55" s="353">
        <f t="shared" si="83"/>
        <v>347.89392363111523</v>
      </c>
      <c r="N55" s="353">
        <f t="shared" si="83"/>
        <v>348.73998718060358</v>
      </c>
      <c r="O55" s="353">
        <f t="shared" si="83"/>
        <v>349.59537847549319</v>
      </c>
      <c r="P55" s="183"/>
      <c r="R55" s="340"/>
      <c r="S55" s="340"/>
      <c r="T55" s="340"/>
      <c r="U55" s="184"/>
      <c r="V55" s="278"/>
      <c r="W55" s="278"/>
      <c r="X55" s="278"/>
      <c r="Y55" s="184"/>
      <c r="Z55" s="184"/>
      <c r="AA55" s="184"/>
      <c r="AB55" s="184"/>
      <c r="AC55" s="184"/>
    </row>
    <row r="56" spans="1:29" s="141" customFormat="1" ht="15.75" customHeight="1" outlineLevel="1">
      <c r="A56" s="180" t="s">
        <v>129</v>
      </c>
      <c r="B56" s="180"/>
      <c r="C56" s="181">
        <f>(C57+C58)*C59*C$7/1000</f>
        <v>0</v>
      </c>
      <c r="D56" s="181">
        <f>(D57+D58)*D59*D$7/1000</f>
        <v>0</v>
      </c>
      <c r="E56" s="181">
        <f>(E57+E58)*E59*E$7/1000</f>
        <v>0</v>
      </c>
      <c r="F56" s="181">
        <f t="shared" ref="F56:O56" si="84">(F57+F58)*F59/1000</f>
        <v>2.2075378917072301</v>
      </c>
      <c r="G56" s="181">
        <f t="shared" si="84"/>
        <v>27.113636182020965</v>
      </c>
      <c r="H56" s="181">
        <f t="shared" si="84"/>
        <v>50.532361745622843</v>
      </c>
      <c r="I56" s="181">
        <f>(I57+I58)*I59/1000</f>
        <v>49.123426249999994</v>
      </c>
      <c r="J56" s="181">
        <f>(J57+J58)*J59/1000</f>
        <v>31.854711851994622</v>
      </c>
      <c r="K56" s="182">
        <f t="shared" si="84"/>
        <v>34.327881502302823</v>
      </c>
      <c r="L56" s="182">
        <f t="shared" si="84"/>
        <v>48.184059554377313</v>
      </c>
      <c r="M56" s="182">
        <f t="shared" si="84"/>
        <v>41.246372755082838</v>
      </c>
      <c r="N56" s="182">
        <f t="shared" si="84"/>
        <v>23.235492113682188</v>
      </c>
      <c r="O56" s="182">
        <f t="shared" si="84"/>
        <v>23.235492113682188</v>
      </c>
      <c r="P56" s="183"/>
      <c r="R56" s="339"/>
      <c r="S56" s="339"/>
      <c r="T56" s="339"/>
      <c r="U56" s="184"/>
      <c r="V56" s="278"/>
      <c r="W56" s="278"/>
      <c r="X56" s="278"/>
      <c r="Y56" s="184"/>
      <c r="Z56" s="184"/>
      <c r="AA56" s="184"/>
      <c r="AB56" s="184"/>
      <c r="AC56" s="184"/>
    </row>
    <row r="57" spans="1:29" s="141" customFormat="1" ht="15.75" customHeight="1" outlineLevel="2">
      <c r="A57" s="197" t="s">
        <v>109</v>
      </c>
      <c r="B57" s="197"/>
      <c r="C57" s="186">
        <v>0</v>
      </c>
      <c r="D57" s="186">
        <v>0</v>
      </c>
      <c r="E57" s="186">
        <v>21</v>
      </c>
      <c r="F57" s="186">
        <v>642</v>
      </c>
      <c r="G57" s="186">
        <v>891</v>
      </c>
      <c r="H57" s="186">
        <v>1135.232</v>
      </c>
      <c r="I57" s="186">
        <v>1142</v>
      </c>
      <c r="J57" s="186">
        <v>1167</v>
      </c>
      <c r="K57" s="327">
        <v>1245</v>
      </c>
      <c r="L57" s="327">
        <v>1380</v>
      </c>
      <c r="M57" s="327">
        <v>1450</v>
      </c>
      <c r="N57" s="327">
        <v>1644</v>
      </c>
      <c r="O57" s="422">
        <f>N57</f>
        <v>1644</v>
      </c>
      <c r="P57" s="183"/>
      <c r="R57" s="340"/>
      <c r="S57" s="340"/>
      <c r="T57" s="340"/>
      <c r="U57" s="184"/>
      <c r="V57" s="278"/>
      <c r="W57" s="278"/>
      <c r="X57" s="278"/>
      <c r="Y57" s="184"/>
      <c r="Z57" s="184"/>
      <c r="AA57" s="184"/>
      <c r="AB57" s="184"/>
      <c r="AC57" s="184"/>
    </row>
    <row r="58" spans="1:29" s="141" customFormat="1" ht="15.75" customHeight="1" outlineLevel="2">
      <c r="A58" s="197" t="s">
        <v>130</v>
      </c>
      <c r="B58" s="197"/>
      <c r="C58" s="186">
        <v>0</v>
      </c>
      <c r="D58" s="186">
        <v>0</v>
      </c>
      <c r="E58" s="186">
        <v>-21</v>
      </c>
      <c r="F58" s="186">
        <v>-630</v>
      </c>
      <c r="G58" s="186">
        <v>-718</v>
      </c>
      <c r="H58" s="186">
        <v>-774.87529099999995</v>
      </c>
      <c r="I58" s="186">
        <v>-803.21775000000002</v>
      </c>
      <c r="J58" s="186">
        <v>-898</v>
      </c>
      <c r="K58" s="187">
        <f>-(K38-K39)*K73-1.4228*K54</f>
        <v>-910.54529067147359</v>
      </c>
      <c r="L58" s="187">
        <f>-(L38-L39)*L73-1.4228*L54</f>
        <v>-910.54529067147359</v>
      </c>
      <c r="M58" s="187">
        <f>-(M38-M39)*M73-1.4228*M54</f>
        <v>-1048.1388012618295</v>
      </c>
      <c r="N58" s="327">
        <f>-(N38-N39)*N73-1.0833*N54</f>
        <v>-1417.617845876521</v>
      </c>
      <c r="O58" s="327">
        <f>-(O38-O39)*O73-1.0833*O54</f>
        <v>-1417.617845876521</v>
      </c>
      <c r="P58" s="183"/>
      <c r="R58" s="339"/>
      <c r="S58" s="339"/>
      <c r="T58" s="339"/>
      <c r="U58" s="184"/>
      <c r="V58" s="278"/>
      <c r="W58" s="278"/>
      <c r="X58" s="278"/>
      <c r="Y58" s="184"/>
      <c r="Z58" s="184"/>
      <c r="AA58" s="184"/>
      <c r="AB58" s="184"/>
      <c r="AC58" s="184"/>
    </row>
    <row r="59" spans="1:29" s="141" customFormat="1" ht="15.75" customHeight="1" outlineLevel="2">
      <c r="A59" s="194" t="s">
        <v>131</v>
      </c>
      <c r="B59" s="194"/>
      <c r="C59" s="190">
        <v>0</v>
      </c>
      <c r="D59" s="190">
        <v>0</v>
      </c>
      <c r="E59" s="190">
        <v>0</v>
      </c>
      <c r="F59" s="190">
        <v>183.96149097560252</v>
      </c>
      <c r="G59" s="190">
        <v>156.7262207053235</v>
      </c>
      <c r="H59" s="190">
        <v>140.22872471516229</v>
      </c>
      <c r="I59" s="190">
        <v>145</v>
      </c>
      <c r="J59" s="321">
        <f>J47*J60</f>
        <v>118.41900316726625</v>
      </c>
      <c r="K59" s="191">
        <f>K47*K60</f>
        <v>102.63835594129253</v>
      </c>
      <c r="L59" s="191">
        <f>L47*L60</f>
        <v>102.63835594129253</v>
      </c>
      <c r="M59" s="191">
        <f>M47*M60</f>
        <v>102.63835594129253</v>
      </c>
      <c r="N59" s="191">
        <f>N47*N60</f>
        <v>102.63835594129253</v>
      </c>
      <c r="O59" s="191">
        <f>O47*O60</f>
        <v>102.63835594129253</v>
      </c>
      <c r="P59" s="183"/>
      <c r="R59" s="339"/>
      <c r="S59" s="339"/>
      <c r="T59" s="339"/>
      <c r="U59" s="184"/>
      <c r="V59" s="278"/>
      <c r="W59" s="278"/>
      <c r="X59" s="278"/>
      <c r="Y59" s="184"/>
      <c r="Z59" s="184"/>
      <c r="AA59" s="184"/>
      <c r="AB59" s="184"/>
      <c r="AC59" s="184"/>
    </row>
    <row r="60" spans="1:29" s="141" customFormat="1" ht="15.75" customHeight="1" outlineLevel="2">
      <c r="A60" s="328" t="s">
        <v>277</v>
      </c>
      <c r="B60" s="194"/>
      <c r="C60" s="329"/>
      <c r="D60" s="329"/>
      <c r="E60" s="329"/>
      <c r="F60" s="329">
        <f>F59/F47</f>
        <v>1.2429830471324494</v>
      </c>
      <c r="G60" s="329">
        <f>G59/G47</f>
        <v>1.42478382459385</v>
      </c>
      <c r="H60" s="329">
        <f>H59/H47</f>
        <v>1.1400709326435958</v>
      </c>
      <c r="I60" s="329">
        <f>I59/I47</f>
        <v>1.3240799926947311</v>
      </c>
      <c r="J60" s="419">
        <f>AVERAGE(F60:I60)</f>
        <v>1.2829794492661566</v>
      </c>
      <c r="K60" s="330">
        <f>J60</f>
        <v>1.2829794492661566</v>
      </c>
      <c r="L60" s="330">
        <f t="shared" ref="L60:O60" si="85">K60</f>
        <v>1.2829794492661566</v>
      </c>
      <c r="M60" s="330">
        <f t="shared" si="85"/>
        <v>1.2829794492661566</v>
      </c>
      <c r="N60" s="330">
        <f t="shared" si="85"/>
        <v>1.2829794492661566</v>
      </c>
      <c r="O60" s="330">
        <f t="shared" si="85"/>
        <v>1.2829794492661566</v>
      </c>
      <c r="P60" s="183"/>
      <c r="R60" s="339"/>
      <c r="S60" s="339"/>
      <c r="T60" s="339"/>
      <c r="U60" s="184"/>
      <c r="V60" s="278"/>
      <c r="W60" s="278"/>
      <c r="X60" s="278"/>
      <c r="Y60" s="184"/>
      <c r="Z60" s="184"/>
      <c r="AA60" s="184"/>
      <c r="AB60" s="184"/>
      <c r="AC60" s="184"/>
    </row>
    <row r="61" spans="1:29" ht="15.75">
      <c r="A61" s="173" t="s">
        <v>50</v>
      </c>
      <c r="B61" s="173"/>
      <c r="C61" s="174">
        <f>C63+C68+C70+C77+C85+C90+C95+C97+C99+C104+C107+C110+C111</f>
        <v>-1176.0210803689065</v>
      </c>
      <c r="D61" s="174">
        <f t="shared" ref="D61:N61" si="86">D63+D68+D70+D77+D85+D90+D95+D97+D99+D104+D107+D110+D111</f>
        <v>-1524.6598639455783</v>
      </c>
      <c r="E61" s="174">
        <f t="shared" si="86"/>
        <v>-1634.2272156585004</v>
      </c>
      <c r="F61" s="174">
        <f t="shared" si="86"/>
        <v>-1659.9610846095907</v>
      </c>
      <c r="G61" s="174">
        <f t="shared" si="86"/>
        <v>-1418.8454568987834</v>
      </c>
      <c r="H61" s="174">
        <f t="shared" si="86"/>
        <v>-1070.2834193169203</v>
      </c>
      <c r="I61" s="174">
        <f t="shared" si="86"/>
        <v>-914.63164298537333</v>
      </c>
      <c r="J61" s="174">
        <f t="shared" si="86"/>
        <v>-1178.6041509839768</v>
      </c>
      <c r="K61" s="175">
        <f t="shared" si="86"/>
        <v>-1194.4239619522991</v>
      </c>
      <c r="L61" s="175">
        <f t="shared" si="86"/>
        <v>-1217.446804366029</v>
      </c>
      <c r="M61" s="175">
        <f t="shared" si="86"/>
        <v>-1301.5094756144554</v>
      </c>
      <c r="N61" s="175">
        <f t="shared" si="86"/>
        <v>-1402.2679875578872</v>
      </c>
      <c r="O61" s="175">
        <f t="shared" ref="O61" si="87">O63+O68+O70+O77+O85+O90+O95+O97+O99+O104+O107+O110+O111</f>
        <v>-1396.5518436688519</v>
      </c>
      <c r="P61" s="164"/>
      <c r="R61" s="172"/>
      <c r="S61" s="172"/>
      <c r="T61" s="172"/>
      <c r="U61" s="151"/>
      <c r="V61" s="278"/>
      <c r="W61" s="278"/>
      <c r="X61" s="278"/>
      <c r="Y61" s="151"/>
      <c r="Z61" s="151"/>
      <c r="AA61" s="151"/>
      <c r="AB61" s="151"/>
      <c r="AC61" s="151"/>
    </row>
    <row r="62" spans="1:29" ht="15.75">
      <c r="A62" s="176" t="s">
        <v>108</v>
      </c>
      <c r="B62" s="176"/>
      <c r="C62" s="198"/>
      <c r="D62" s="178">
        <f t="shared" ref="D62:K62" si="88">D61/C61-1</f>
        <v>0.29645623653898046</v>
      </c>
      <c r="E62" s="178">
        <f t="shared" si="88"/>
        <v>7.1863472177577492E-2</v>
      </c>
      <c r="F62" s="178">
        <f t="shared" si="88"/>
        <v>1.5746812135129629E-2</v>
      </c>
      <c r="G62" s="178">
        <f t="shared" si="88"/>
        <v>-0.14525378332439387</v>
      </c>
      <c r="H62" s="178">
        <f t="shared" si="88"/>
        <v>-0.24566596445516087</v>
      </c>
      <c r="I62" s="178">
        <f t="shared" si="88"/>
        <v>-0.14543042854096311</v>
      </c>
      <c r="J62" s="178">
        <f t="shared" si="88"/>
        <v>0.28861073200681386</v>
      </c>
      <c r="K62" s="179">
        <f t="shared" si="88"/>
        <v>1.3422497243977149E-2</v>
      </c>
      <c r="L62" s="179">
        <f t="shared" ref="L62:O62" si="89">L61/K61-1</f>
        <v>1.927526836961535E-2</v>
      </c>
      <c r="M62" s="179">
        <f t="shared" ref="M62" si="90">M61/L61-1</f>
        <v>6.9048332088892383E-2</v>
      </c>
      <c r="N62" s="179">
        <f t="shared" si="89"/>
        <v>7.7416656452587773E-2</v>
      </c>
      <c r="O62" s="179">
        <f t="shared" si="89"/>
        <v>-4.0763562598260528E-3</v>
      </c>
      <c r="P62" s="164"/>
      <c r="R62" s="172"/>
      <c r="S62" s="172"/>
      <c r="T62" s="172"/>
      <c r="U62" s="151"/>
      <c r="V62" s="151"/>
      <c r="W62" s="151"/>
      <c r="X62" s="151"/>
      <c r="Y62" s="151"/>
      <c r="Z62" s="151"/>
      <c r="AA62" s="151"/>
      <c r="AB62" s="151"/>
      <c r="AC62" s="151"/>
    </row>
    <row r="63" spans="1:29" ht="15.75" customHeight="1" outlineLevel="1">
      <c r="A63" s="180" t="s">
        <v>93</v>
      </c>
      <c r="B63" s="180"/>
      <c r="C63" s="181">
        <f>-6427/C7</f>
        <v>-211.69301712779975</v>
      </c>
      <c r="D63" s="181">
        <f>-7349/D7</f>
        <v>-249.96598639455783</v>
      </c>
      <c r="E63" s="181">
        <f>-7884/E7</f>
        <v>-253.80677977014454</v>
      </c>
      <c r="F63" s="181">
        <f>-9674/F7</f>
        <v>-303.60281195079085</v>
      </c>
      <c r="G63" s="181">
        <f>-9961/G7</f>
        <v>-257.85658814392957</v>
      </c>
      <c r="H63" s="181">
        <f>-10300/H7</f>
        <v>-168.15777444001827</v>
      </c>
      <c r="I63" s="181">
        <f>-13206/I7</f>
        <v>-197.15376605345367</v>
      </c>
      <c r="J63" s="181">
        <f>-15406/J7</f>
        <v>-265.07796537262067</v>
      </c>
      <c r="K63" s="192">
        <f>-K64*K66/1000/K7</f>
        <v>-261.75430635111906</v>
      </c>
      <c r="L63" s="192">
        <f>-L64*L66/1000/L7</f>
        <v>-261.08172425142362</v>
      </c>
      <c r="M63" s="192">
        <f>-M64*M66/1000/M7</f>
        <v>-282.28306617747768</v>
      </c>
      <c r="N63" s="192">
        <f>-N64*N66/1000/N7</f>
        <v>-297.64493787945571</v>
      </c>
      <c r="O63" s="192">
        <f>-O64*O66/1000/O7</f>
        <v>-300.98311842677367</v>
      </c>
      <c r="P63" s="164"/>
      <c r="R63" s="172"/>
      <c r="S63" s="172"/>
      <c r="T63" s="172"/>
      <c r="U63" s="260"/>
      <c r="V63" s="151"/>
      <c r="W63" s="151"/>
      <c r="X63" s="151"/>
      <c r="Y63" s="151"/>
      <c r="Z63" s="151"/>
      <c r="AA63" s="151"/>
      <c r="AB63" s="151"/>
      <c r="AC63" s="151"/>
    </row>
    <row r="64" spans="1:29" ht="15.75" customHeight="1" outlineLevel="1">
      <c r="A64" s="197" t="s">
        <v>132</v>
      </c>
      <c r="B64" s="197"/>
      <c r="C64" s="186">
        <f t="shared" ref="C64:J64" si="91">-C63*C7*1000/C66</f>
        <v>2223.1061916291942</v>
      </c>
      <c r="D64" s="186">
        <f t="shared" si="91"/>
        <v>2284.7402030080075</v>
      </c>
      <c r="E64" s="186">
        <f t="shared" si="91"/>
        <v>2288.6294867382198</v>
      </c>
      <c r="F64" s="186">
        <f t="shared" si="91"/>
        <v>2434.5824871713371</v>
      </c>
      <c r="G64" s="186">
        <f t="shared" si="91"/>
        <v>2330.0225403721597</v>
      </c>
      <c r="H64" s="186">
        <f t="shared" si="91"/>
        <v>2300.1339883876731</v>
      </c>
      <c r="I64" s="186">
        <f t="shared" si="91"/>
        <v>2885.2960454446143</v>
      </c>
      <c r="J64" s="186">
        <f t="shared" si="91"/>
        <v>3320.2586206896549</v>
      </c>
      <c r="K64" s="199">
        <f>K65*K16</f>
        <v>3198</v>
      </c>
      <c r="L64" s="199">
        <f>L65*L16</f>
        <v>3198</v>
      </c>
      <c r="M64" s="199">
        <f>M65*M16</f>
        <v>3445.23</v>
      </c>
      <c r="N64" s="199">
        <f>N65*N16</f>
        <v>3602.67</v>
      </c>
      <c r="O64" s="199">
        <f>O65*O16</f>
        <v>3602.67</v>
      </c>
      <c r="P64" s="164"/>
      <c r="R64" s="172"/>
      <c r="S64" s="172"/>
      <c r="T64" s="172"/>
      <c r="U64" s="260"/>
      <c r="V64" s="151"/>
      <c r="W64" s="151"/>
      <c r="X64" s="151"/>
      <c r="Y64" s="151"/>
      <c r="Z64" s="151"/>
      <c r="AA64" s="151"/>
      <c r="AB64" s="151"/>
      <c r="AC64" s="151"/>
    </row>
    <row r="65" spans="1:29" ht="15.75" customHeight="1" outlineLevel="1">
      <c r="A65" s="197" t="s">
        <v>133</v>
      </c>
      <c r="B65" s="197"/>
      <c r="C65" s="200">
        <f t="shared" ref="C65:H65" si="92">C64/(C16-C17)</f>
        <v>1.3689077534662526</v>
      </c>
      <c r="D65" s="200">
        <f t="shared" si="92"/>
        <v>1.3599644065523855</v>
      </c>
      <c r="E65" s="200">
        <f t="shared" si="92"/>
        <v>1.3502238859812505</v>
      </c>
      <c r="F65" s="200">
        <f t="shared" si="92"/>
        <v>1.3260253198100964</v>
      </c>
      <c r="G65" s="200">
        <f t="shared" si="92"/>
        <v>1.3338805474995188</v>
      </c>
      <c r="H65" s="200">
        <f t="shared" si="92"/>
        <v>1.3466818745350109</v>
      </c>
      <c r="I65" s="200">
        <f>I64/I16</f>
        <v>1.3109023377758358</v>
      </c>
      <c r="J65" s="200">
        <f>J64/J16</f>
        <v>1.2794830908245298</v>
      </c>
      <c r="K65" s="421">
        <v>1.23</v>
      </c>
      <c r="L65" s="201">
        <f t="shared" ref="K65:O65" si="93">K65</f>
        <v>1.23</v>
      </c>
      <c r="M65" s="201">
        <f>L65</f>
        <v>1.23</v>
      </c>
      <c r="N65" s="201">
        <f t="shared" si="93"/>
        <v>1.23</v>
      </c>
      <c r="O65" s="201">
        <f t="shared" si="93"/>
        <v>1.23</v>
      </c>
      <c r="P65" s="164"/>
      <c r="R65" s="172"/>
      <c r="S65" s="172"/>
      <c r="T65" s="172"/>
      <c r="U65" s="151"/>
      <c r="V65" s="151"/>
      <c r="W65" s="151"/>
      <c r="X65" s="151"/>
      <c r="Y65" s="151"/>
      <c r="Z65" s="151"/>
      <c r="AA65" s="151"/>
      <c r="AB65" s="151"/>
      <c r="AC65" s="151"/>
    </row>
    <row r="66" spans="1:29" ht="15.75" customHeight="1" outlineLevel="1">
      <c r="A66" s="197" t="s">
        <v>134</v>
      </c>
      <c r="B66" s="197"/>
      <c r="C66" s="186">
        <v>2891</v>
      </c>
      <c r="D66" s="186">
        <v>3216.5582722817098</v>
      </c>
      <c r="E66" s="186">
        <v>3444.8564285678081</v>
      </c>
      <c r="F66" s="186">
        <v>3973.57659926319</v>
      </c>
      <c r="G66" s="186">
        <v>4275.0659392372199</v>
      </c>
      <c r="H66" s="186">
        <v>4478</v>
      </c>
      <c r="I66" s="186">
        <v>4577</v>
      </c>
      <c r="J66" s="186">
        <v>4640</v>
      </c>
      <c r="K66" s="187">
        <f>J66*(1+K67)</f>
        <v>4776.0368808239336</v>
      </c>
      <c r="L66" s="187">
        <f t="shared" ref="L66" si="94">K66*(1+L67)</f>
        <v>4900.4975646885723</v>
      </c>
      <c r="M66" s="187">
        <f>L66*(1+M67)</f>
        <v>5067.2688282679737</v>
      </c>
      <c r="N66" s="187">
        <f>M66*(1+N67)</f>
        <v>5249.6905060856207</v>
      </c>
      <c r="O66" s="187">
        <f>N66*(1+O67)</f>
        <v>5438.6793643047031</v>
      </c>
      <c r="P66" s="164"/>
      <c r="R66" s="172"/>
      <c r="S66" s="172"/>
      <c r="T66" s="172"/>
      <c r="U66" s="151"/>
      <c r="V66" s="151"/>
      <c r="W66" s="151"/>
      <c r="X66" s="151"/>
      <c r="Y66" s="151"/>
      <c r="Z66" s="151"/>
      <c r="AA66" s="151"/>
      <c r="AB66" s="151"/>
      <c r="AC66" s="151"/>
    </row>
    <row r="67" spans="1:29" ht="15.75" customHeight="1" outlineLevel="1">
      <c r="A67" s="202" t="s">
        <v>135</v>
      </c>
      <c r="B67" s="202"/>
      <c r="C67" s="178"/>
      <c r="D67" s="178">
        <f t="shared" ref="D67:J67" si="95">D66/C66-1</f>
        <v>0.11261095547620537</v>
      </c>
      <c r="E67" s="178">
        <f t="shared" si="95"/>
        <v>7.0975911816499426E-2</v>
      </c>
      <c r="F67" s="178">
        <f t="shared" si="95"/>
        <v>0.1534810467892842</v>
      </c>
      <c r="G67" s="178">
        <f t="shared" si="95"/>
        <v>7.5873544259832393E-2</v>
      </c>
      <c r="H67" s="178">
        <f t="shared" si="95"/>
        <v>4.7469223550500095E-2</v>
      </c>
      <c r="I67" s="178">
        <f t="shared" si="95"/>
        <v>2.2108083966056347E-2</v>
      </c>
      <c r="J67" s="178">
        <f t="shared" si="95"/>
        <v>1.376447454664631E-2</v>
      </c>
      <c r="K67" s="179">
        <f>[10]General!O$39</f>
        <v>2.9318293281020091E-2</v>
      </c>
      <c r="L67" s="179">
        <f>[10]General!P$39</f>
        <v>2.6059405940593861E-2</v>
      </c>
      <c r="M67" s="179">
        <f>[10]General!Q$39</f>
        <v>3.4031496062992161E-2</v>
      </c>
      <c r="N67" s="179">
        <f>[10]General!R$39</f>
        <v>3.6000000000000032E-2</v>
      </c>
      <c r="O67" s="179">
        <f>[10]General!S$39</f>
        <v>3.6000000000000032E-2</v>
      </c>
      <c r="P67" s="164"/>
      <c r="R67" s="172"/>
      <c r="S67" s="172"/>
      <c r="T67" s="172" t="s">
        <v>318</v>
      </c>
      <c r="U67" s="151"/>
      <c r="V67" s="151"/>
      <c r="W67" s="151"/>
      <c r="X67" s="151"/>
      <c r="Y67" s="151"/>
      <c r="Z67" s="151"/>
      <c r="AA67" s="151"/>
      <c r="AB67" s="151"/>
      <c r="AC67" s="151"/>
    </row>
    <row r="68" spans="1:29" ht="15.75" customHeight="1" outlineLevel="1">
      <c r="A68" s="180" t="s">
        <v>205</v>
      </c>
      <c r="B68" s="180"/>
      <c r="C68" s="181">
        <f>-3386/C7</f>
        <v>-111.52832674571805</v>
      </c>
      <c r="D68" s="181">
        <f>-3729/D7</f>
        <v>-126.83673469387756</v>
      </c>
      <c r="E68" s="181">
        <f>-4081/E7</f>
        <v>-131.37816695103498</v>
      </c>
      <c r="F68" s="181">
        <f>-4705/F7</f>
        <v>-147.65879989957318</v>
      </c>
      <c r="G68" s="181">
        <f>-5483/G7</f>
        <v>-141.93631892311674</v>
      </c>
      <c r="H68" s="181">
        <f>-6154/H7</f>
        <v>-100.47018872853131</v>
      </c>
      <c r="I68" s="181">
        <f>-6031/I7</f>
        <v>-90.037434731817285</v>
      </c>
      <c r="J68" s="181">
        <f>-7219/J7</f>
        <v>-124.21120550596837</v>
      </c>
      <c r="K68" s="192">
        <f t="shared" ref="K68:M68" si="96">J68*(1+K69)*(K16+K22+K26+K30+K38+K53+K57)/(J16+J22+J26+J30+J38+J53+J57)*J7/K7</f>
        <v>-131.84371897731751</v>
      </c>
      <c r="L68" s="192">
        <f t="shared" si="96"/>
        <v>-136.12377569238751</v>
      </c>
      <c r="M68" s="192">
        <f t="shared" si="96"/>
        <v>-151.17477966132753</v>
      </c>
      <c r="N68" s="192">
        <f>M68*(1+N69)*(N16+N22+N26+N30+N38+N53+N57)/(M16+M22+M26+M30+M38+M53+M57)*M7/N7</f>
        <v>-162.25174546488336</v>
      </c>
      <c r="O68" s="192">
        <f>N68*(1+O69)*(O16+O22+O26+O30+O38+O53+O57)/(N16+N22+N26+N30+N38+N53+N57)*N7/O7</f>
        <v>-160.98109572366005</v>
      </c>
      <c r="P68" s="164"/>
      <c r="R68" s="172"/>
      <c r="S68" s="172"/>
      <c r="T68" s="172"/>
      <c r="U68" s="151"/>
      <c r="V68" s="274"/>
      <c r="W68" s="151"/>
      <c r="X68" s="151"/>
      <c r="Y68" s="151"/>
      <c r="Z68" s="151"/>
      <c r="AA68" s="151"/>
      <c r="AB68" s="151"/>
      <c r="AC68" s="151"/>
    </row>
    <row r="69" spans="1:29" ht="15.75" customHeight="1" outlineLevel="1">
      <c r="A69" s="202" t="s">
        <v>108</v>
      </c>
      <c r="B69" s="202"/>
      <c r="C69" s="186"/>
      <c r="D69" s="178">
        <f t="shared" ref="D69:J69" si="97">D68*D7/(C68*C7)-1</f>
        <v>0.10129946839929116</v>
      </c>
      <c r="E69" s="178">
        <f t="shared" si="97"/>
        <v>9.4395280235987977E-2</v>
      </c>
      <c r="F69" s="178">
        <f t="shared" si="97"/>
        <v>0.15290370007351162</v>
      </c>
      <c r="G69" s="178">
        <f t="shared" si="97"/>
        <v>0.16535600425079711</v>
      </c>
      <c r="H69" s="178">
        <f t="shared" si="97"/>
        <v>0.12237826007660035</v>
      </c>
      <c r="I69" s="178">
        <f t="shared" si="97"/>
        <v>-1.9987000324991899E-2</v>
      </c>
      <c r="J69" s="178">
        <f t="shared" si="97"/>
        <v>0.1969822583319516</v>
      </c>
      <c r="K69" s="179">
        <f>[10]General!O$17</f>
        <v>3.1713488960065428E-2</v>
      </c>
      <c r="L69" s="179">
        <f>[10]General!P$17</f>
        <v>2.8138541584928678E-2</v>
      </c>
      <c r="M69" s="179">
        <f>[10]General!Q$17</f>
        <v>3.9342954023271481E-2</v>
      </c>
      <c r="N69" s="179">
        <f>[10]General!R$17</f>
        <v>-3.2272865263915929E-4</v>
      </c>
      <c r="O69" s="179">
        <f>[10]General!S$17</f>
        <v>1.6486512008721865E-2</v>
      </c>
      <c r="P69" s="164"/>
      <c r="R69" s="172"/>
      <c r="S69" s="172"/>
      <c r="T69" s="172"/>
      <c r="U69" s="151"/>
      <c r="V69" s="151"/>
      <c r="W69" s="151"/>
      <c r="X69" s="151"/>
      <c r="Y69" s="151"/>
      <c r="Z69" s="151"/>
      <c r="AA69" s="151"/>
      <c r="AB69" s="151"/>
      <c r="AC69" s="151"/>
    </row>
    <row r="70" spans="1:29" ht="15.75" customHeight="1" outlineLevel="1">
      <c r="A70" s="180" t="s">
        <v>204</v>
      </c>
      <c r="B70" s="180"/>
      <c r="C70" s="181">
        <f>-3713/C7</f>
        <v>-122.29907773386034</v>
      </c>
      <c r="D70" s="181">
        <f>-4223/D7</f>
        <v>-143.63945578231292</v>
      </c>
      <c r="E70" s="181">
        <f>-4951/E7</f>
        <v>-159.38576441425491</v>
      </c>
      <c r="F70" s="181">
        <f>-2920/F7</f>
        <v>-91.639467737886008</v>
      </c>
      <c r="G70" s="181">
        <f>-1014/G7</f>
        <v>-26.249029251876777</v>
      </c>
      <c r="H70" s="181">
        <f>-481/H7</f>
        <v>-7.8528048063736691</v>
      </c>
      <c r="I70" s="181">
        <f>-I74*I76/1000</f>
        <v>0</v>
      </c>
      <c r="J70" s="181">
        <f>-J74*J76/1000</f>
        <v>0</v>
      </c>
      <c r="K70" s="192">
        <f>-K74*K76/1000</f>
        <v>0</v>
      </c>
      <c r="L70" s="192">
        <f t="shared" ref="L70:M70" si="98">-L74*L76/1000</f>
        <v>0</v>
      </c>
      <c r="M70" s="192">
        <f t="shared" si="98"/>
        <v>0</v>
      </c>
      <c r="N70" s="192">
        <f t="shared" ref="N70:O70" si="99">-N74*N76/1000</f>
        <v>0</v>
      </c>
      <c r="O70" s="192">
        <f t="shared" si="99"/>
        <v>0</v>
      </c>
    </row>
    <row r="71" spans="1:29" ht="15.75" customHeight="1" outlineLevel="1">
      <c r="A71" s="203" t="s">
        <v>136</v>
      </c>
      <c r="B71" s="203"/>
      <c r="C71" s="186">
        <f t="shared" ref="C71:D71" si="100">C72+C74</f>
        <v>1087</v>
      </c>
      <c r="D71" s="186">
        <f t="shared" si="100"/>
        <v>1137</v>
      </c>
      <c r="E71" s="186">
        <f>E72+E74</f>
        <v>1085</v>
      </c>
      <c r="F71" s="186">
        <f>F72+F74</f>
        <v>478</v>
      </c>
      <c r="G71" s="186">
        <f>G72+G74</f>
        <v>306</v>
      </c>
      <c r="H71" s="186">
        <f>H72+H74</f>
        <v>95.124709000000053</v>
      </c>
      <c r="I71" s="186">
        <v>0</v>
      </c>
      <c r="J71" s="186">
        <v>0</v>
      </c>
      <c r="K71" s="199">
        <v>0</v>
      </c>
      <c r="L71" s="199">
        <v>0</v>
      </c>
      <c r="M71" s="199">
        <v>0</v>
      </c>
      <c r="N71" s="199">
        <v>0</v>
      </c>
      <c r="O71" s="199">
        <v>0</v>
      </c>
    </row>
    <row r="72" spans="1:29" ht="15.75" customHeight="1" outlineLevel="1">
      <c r="A72" s="204" t="s">
        <v>137</v>
      </c>
      <c r="B72" s="204"/>
      <c r="C72" s="186">
        <f>726+C58</f>
        <v>726</v>
      </c>
      <c r="D72" s="186">
        <f>746+D58</f>
        <v>746</v>
      </c>
      <c r="E72" s="186">
        <f>699+E58</f>
        <v>678</v>
      </c>
      <c r="F72" s="186">
        <f>769+F58</f>
        <v>139</v>
      </c>
      <c r="G72" s="186">
        <f>732+G58</f>
        <v>14</v>
      </c>
      <c r="H72" s="186">
        <f>789+H58</f>
        <v>14.124709000000053</v>
      </c>
      <c r="I72" s="186">
        <v>0</v>
      </c>
      <c r="J72" s="186">
        <v>0</v>
      </c>
      <c r="K72" s="199">
        <v>0</v>
      </c>
      <c r="L72" s="199">
        <v>0</v>
      </c>
      <c r="M72" s="199">
        <v>0</v>
      </c>
      <c r="N72" s="199">
        <v>0</v>
      </c>
      <c r="O72" s="199">
        <v>0</v>
      </c>
    </row>
    <row r="73" spans="1:29" ht="15.75" customHeight="1" outlineLevel="1">
      <c r="A73" s="196" t="s">
        <v>138</v>
      </c>
      <c r="B73" s="196"/>
      <c r="C73" s="205">
        <f>(C71-C74)/(C38-C39)</f>
        <v>0.41343963553530749</v>
      </c>
      <c r="D73" s="205">
        <f>(D71-D74)/(D38-D39)</f>
        <v>0.40280777537796975</v>
      </c>
      <c r="E73" s="205">
        <f>(E71-E58-E74)/(E38-E39)</f>
        <v>0.4035796766743649</v>
      </c>
      <c r="F73" s="205">
        <f>(F71-F58-F74)/(F38-F39)</f>
        <v>0.40882509303561937</v>
      </c>
      <c r="G73" s="205">
        <f>(G71-G58-G74)/(G38-G39)</f>
        <v>0.40326134861172325</v>
      </c>
      <c r="H73" s="205">
        <f>(H71-H58-H74)/(H38-H39)</f>
        <v>0.41422976364228192</v>
      </c>
      <c r="I73" s="205">
        <f>(I71-I58-I74)/(I38-I39)</f>
        <v>0.41127380952380954</v>
      </c>
      <c r="J73" s="205">
        <f>(J71-J58-J74)/(J38-J39)</f>
        <v>0.40468679585398826</v>
      </c>
      <c r="K73" s="337">
        <f t="shared" ref="K73:O73" si="101">J73</f>
        <v>0.40468679585398826</v>
      </c>
      <c r="L73" s="337">
        <f t="shared" si="101"/>
        <v>0.40468679585398826</v>
      </c>
      <c r="M73" s="337">
        <f t="shared" si="101"/>
        <v>0.40468679585398826</v>
      </c>
      <c r="N73" s="337">
        <f t="shared" si="101"/>
        <v>0.40468679585398826</v>
      </c>
      <c r="O73" s="337">
        <f t="shared" si="101"/>
        <v>0.40468679585398826</v>
      </c>
      <c r="P73" s="337"/>
    </row>
    <row r="74" spans="1:29" ht="15.75" customHeight="1" outlineLevel="1">
      <c r="A74" s="204" t="s">
        <v>110</v>
      </c>
      <c r="B74" s="204"/>
      <c r="C74" s="186">
        <v>361</v>
      </c>
      <c r="D74" s="186">
        <v>391</v>
      </c>
      <c r="E74" s="186">
        <v>407</v>
      </c>
      <c r="F74" s="186">
        <v>339</v>
      </c>
      <c r="G74" s="186">
        <v>292</v>
      </c>
      <c r="H74" s="186">
        <v>81</v>
      </c>
      <c r="I74" s="186">
        <v>0</v>
      </c>
      <c r="J74" s="186">
        <v>0</v>
      </c>
      <c r="K74" s="199">
        <v>0</v>
      </c>
      <c r="L74" s="199">
        <v>0</v>
      </c>
      <c r="M74" s="199">
        <v>0</v>
      </c>
      <c r="N74" s="199">
        <v>0</v>
      </c>
      <c r="O74" s="199">
        <v>0</v>
      </c>
    </row>
    <row r="75" spans="1:29" ht="15.75" customHeight="1" outlineLevel="1">
      <c r="A75" s="196" t="s">
        <v>138</v>
      </c>
      <c r="B75" s="196"/>
      <c r="C75" s="205">
        <f t="shared" ref="C75:H75" si="102">C74/C39</f>
        <v>0.52243125904486254</v>
      </c>
      <c r="D75" s="205">
        <f t="shared" si="102"/>
        <v>0.51788079470198678</v>
      </c>
      <c r="E75" s="205">
        <f t="shared" si="102"/>
        <v>0.47826086956521741</v>
      </c>
      <c r="F75" s="205">
        <f t="shared" si="102"/>
        <v>0.46311475409836067</v>
      </c>
      <c r="G75" s="205">
        <f t="shared" si="102"/>
        <v>0.40782122905027934</v>
      </c>
      <c r="H75" s="205">
        <f t="shared" si="102"/>
        <v>0.1396551724137931</v>
      </c>
      <c r="I75" s="186">
        <v>0</v>
      </c>
      <c r="J75" s="186">
        <f>I75</f>
        <v>0</v>
      </c>
      <c r="K75" s="334">
        <f>J75</f>
        <v>0</v>
      </c>
      <c r="L75" s="334">
        <f t="shared" ref="L75:O75" si="103">K75</f>
        <v>0</v>
      </c>
      <c r="M75" s="334">
        <f t="shared" si="103"/>
        <v>0</v>
      </c>
      <c r="N75" s="334">
        <f t="shared" si="103"/>
        <v>0</v>
      </c>
      <c r="O75" s="334">
        <f t="shared" si="103"/>
        <v>0</v>
      </c>
    </row>
    <row r="76" spans="1:29" ht="15.75" customHeight="1" outlineLevel="1">
      <c r="A76" s="196" t="s">
        <v>139</v>
      </c>
      <c r="B76" s="196"/>
      <c r="C76" s="190">
        <f t="shared" ref="C76:H76" si="104">-C70/C71*1000</f>
        <v>112.51065108910795</v>
      </c>
      <c r="D76" s="190">
        <f t="shared" si="104"/>
        <v>126.33197518233327</v>
      </c>
      <c r="E76" s="190">
        <f t="shared" si="104"/>
        <v>146.89932204078792</v>
      </c>
      <c r="F76" s="190">
        <f t="shared" si="104"/>
        <v>191.71436765248117</v>
      </c>
      <c r="G76" s="190">
        <f t="shared" si="104"/>
        <v>85.781141346002542</v>
      </c>
      <c r="H76" s="190">
        <f t="shared" si="104"/>
        <v>82.5527340785207</v>
      </c>
      <c r="I76" s="190">
        <v>0</v>
      </c>
      <c r="J76" s="190">
        <f>I76*J47/I47</f>
        <v>0</v>
      </c>
      <c r="K76" s="334">
        <f>J76*K47/J47</f>
        <v>0</v>
      </c>
      <c r="L76" s="334">
        <f>K76*L47/K47</f>
        <v>0</v>
      </c>
      <c r="M76" s="334">
        <f>L76*M47/L47</f>
        <v>0</v>
      </c>
      <c r="N76" s="334">
        <f>M76*N47/M47</f>
        <v>0</v>
      </c>
      <c r="O76" s="334">
        <f>N76*O47/N47</f>
        <v>0</v>
      </c>
    </row>
    <row r="77" spans="1:29" ht="15.75" customHeight="1" outlineLevel="1">
      <c r="A77" s="180" t="s">
        <v>140</v>
      </c>
      <c r="B77" s="180"/>
      <c r="C77" s="181">
        <f>-4048/C7</f>
        <v>-133.33333333333334</v>
      </c>
      <c r="D77" s="181">
        <f>-5729/D7</f>
        <v>-194.8639455782313</v>
      </c>
      <c r="E77" s="181">
        <f>-6643/E7</f>
        <v>-213.85571258410329</v>
      </c>
      <c r="F77" s="181">
        <f>-5652/F7</f>
        <v>-177.37886015566156</v>
      </c>
      <c r="G77" s="181">
        <f>-4877/G7</f>
        <v>-126.24902925187678</v>
      </c>
      <c r="H77" s="181">
        <f>-7951/H7</f>
        <v>-129.80800626918304</v>
      </c>
      <c r="I77" s="181">
        <f>-4765/I7</f>
        <v>-71.137187281895109</v>
      </c>
      <c r="J77" s="181">
        <f>-5192/J7</f>
        <v>-89.334337025486604</v>
      </c>
      <c r="K77" s="192">
        <f t="shared" ref="K77:O77" si="105">-K79*K81/1000</f>
        <v>-89.573760619421449</v>
      </c>
      <c r="L77" s="192">
        <f t="shared" si="105"/>
        <v>-89.573760619421449</v>
      </c>
      <c r="M77" s="192">
        <f t="shared" si="105"/>
        <v>-103.1093511130229</v>
      </c>
      <c r="N77" s="192">
        <f t="shared" si="105"/>
        <v>-139.4563926443704</v>
      </c>
      <c r="O77" s="192">
        <f t="shared" si="105"/>
        <v>-139.4563926443704</v>
      </c>
      <c r="P77" s="164"/>
      <c r="R77" s="172"/>
      <c r="S77" s="172"/>
      <c r="T77" s="172"/>
      <c r="U77" s="151"/>
      <c r="V77" s="151"/>
      <c r="W77" s="151"/>
      <c r="X77" s="151"/>
      <c r="Y77" s="151"/>
      <c r="Z77" s="151"/>
      <c r="AA77" s="151"/>
      <c r="AB77" s="151"/>
      <c r="AC77" s="151"/>
    </row>
    <row r="78" spans="1:29" ht="15.75" customHeight="1" outlineLevel="1">
      <c r="A78" s="203" t="s">
        <v>136</v>
      </c>
      <c r="B78" s="203"/>
      <c r="C78" s="186">
        <f>C79+C82</f>
        <v>613</v>
      </c>
      <c r="D78" s="186">
        <f t="shared" ref="D78:K78" si="106">D79+D82</f>
        <v>645</v>
      </c>
      <c r="E78" s="186">
        <f t="shared" si="106"/>
        <v>611</v>
      </c>
      <c r="F78" s="186">
        <f t="shared" si="106"/>
        <v>623</v>
      </c>
      <c r="G78" s="186">
        <f>G79+G82</f>
        <v>622</v>
      </c>
      <c r="H78" s="186">
        <f>H79+H82</f>
        <v>628</v>
      </c>
      <c r="I78" s="186">
        <f>I79+I82</f>
        <v>483</v>
      </c>
      <c r="J78" s="186">
        <f t="shared" si="106"/>
        <v>586</v>
      </c>
      <c r="K78" s="199">
        <f t="shared" si="106"/>
        <v>585</v>
      </c>
      <c r="L78" s="199">
        <f t="shared" ref="L78:M78" si="107">L79+L82</f>
        <v>585</v>
      </c>
      <c r="M78" s="199">
        <f t="shared" si="107"/>
        <v>673.4</v>
      </c>
      <c r="N78" s="199">
        <f t="shared" ref="N78:O78" si="108">N79+N82</f>
        <v>910.78000000000009</v>
      </c>
      <c r="O78" s="199">
        <f t="shared" si="108"/>
        <v>910.78000000000009</v>
      </c>
      <c r="P78" s="164"/>
      <c r="R78" s="172"/>
      <c r="S78" s="172"/>
      <c r="T78" s="172"/>
      <c r="U78" s="151"/>
      <c r="V78" s="151"/>
      <c r="W78" s="151"/>
      <c r="X78" s="151"/>
      <c r="Y78" s="151"/>
      <c r="Z78" s="151"/>
      <c r="AA78" s="151"/>
      <c r="AB78" s="151"/>
      <c r="AC78" s="151"/>
    </row>
    <row r="79" spans="1:29" ht="15.75" customHeight="1" outlineLevel="1">
      <c r="A79" s="204" t="s">
        <v>137</v>
      </c>
      <c r="B79" s="204"/>
      <c r="C79" s="186">
        <v>464</v>
      </c>
      <c r="D79" s="186">
        <v>492</v>
      </c>
      <c r="E79" s="186">
        <v>458</v>
      </c>
      <c r="F79" s="186">
        <v>482</v>
      </c>
      <c r="G79" s="186">
        <v>477</v>
      </c>
      <c r="H79" s="186">
        <v>509</v>
      </c>
      <c r="I79" s="186">
        <v>483</v>
      </c>
      <c r="J79" s="186">
        <v>586</v>
      </c>
      <c r="K79" s="199">
        <f>(K38-K39)*K80</f>
        <v>585</v>
      </c>
      <c r="L79" s="199">
        <f>(L38-L39)*L80</f>
        <v>585</v>
      </c>
      <c r="M79" s="199">
        <f>(M38-M39)*M80</f>
        <v>673.4</v>
      </c>
      <c r="N79" s="199">
        <f>(N38-N39)*N80</f>
        <v>910.78000000000009</v>
      </c>
      <c r="O79" s="199">
        <f>(O38-O39)*O80</f>
        <v>910.78000000000009</v>
      </c>
      <c r="P79" s="164"/>
      <c r="R79" s="172"/>
      <c r="S79" s="172"/>
      <c r="T79" s="172"/>
      <c r="U79" s="151"/>
      <c r="V79" s="151"/>
      <c r="W79" s="151"/>
      <c r="X79" s="151"/>
      <c r="Y79" s="151"/>
      <c r="Z79" s="151"/>
      <c r="AA79" s="151"/>
      <c r="AB79" s="151"/>
      <c r="AC79" s="151"/>
    </row>
    <row r="80" spans="1:29" ht="15.75" customHeight="1" outlineLevel="1">
      <c r="A80" s="196" t="s">
        <v>141</v>
      </c>
      <c r="B80" s="196"/>
      <c r="C80" s="200">
        <f t="shared" ref="C80:J80" si="109">C79/(C38-C39)</f>
        <v>0.26423690205011391</v>
      </c>
      <c r="D80" s="200">
        <f t="shared" si="109"/>
        <v>0.26565874730021599</v>
      </c>
      <c r="E80" s="200">
        <f t="shared" si="109"/>
        <v>0.26443418013856812</v>
      </c>
      <c r="F80" s="200">
        <f t="shared" si="109"/>
        <v>0.25624667729930889</v>
      </c>
      <c r="G80" s="200">
        <f t="shared" si="109"/>
        <v>0.26278096077567215</v>
      </c>
      <c r="H80" s="200">
        <f t="shared" si="109"/>
        <v>0.26722807312284097</v>
      </c>
      <c r="I80" s="200">
        <f t="shared" si="109"/>
        <v>0.24731182795698925</v>
      </c>
      <c r="J80" s="200">
        <f t="shared" si="109"/>
        <v>0.26408292023433977</v>
      </c>
      <c r="K80" s="206">
        <v>0.26</v>
      </c>
      <c r="L80" s="206">
        <f t="shared" ref="L80:O80" si="110">K80</f>
        <v>0.26</v>
      </c>
      <c r="M80" s="206">
        <f t="shared" si="110"/>
        <v>0.26</v>
      </c>
      <c r="N80" s="206">
        <f t="shared" si="110"/>
        <v>0.26</v>
      </c>
      <c r="O80" s="206">
        <f t="shared" si="110"/>
        <v>0.26</v>
      </c>
      <c r="P80" s="164"/>
      <c r="R80" s="172"/>
      <c r="S80" s="172"/>
      <c r="T80" s="172"/>
      <c r="U80" s="151"/>
      <c r="V80" s="151"/>
      <c r="W80" s="151"/>
      <c r="X80" s="151"/>
      <c r="Y80" s="151"/>
      <c r="Z80" s="151"/>
      <c r="AA80" s="151"/>
      <c r="AB80" s="151"/>
      <c r="AC80" s="151"/>
    </row>
    <row r="81" spans="1:29" ht="15.75" customHeight="1" outlineLevel="1">
      <c r="A81" s="196" t="s">
        <v>142</v>
      </c>
      <c r="B81" s="196"/>
      <c r="C81" s="186">
        <f>5358/C7</f>
        <v>176.48221343873519</v>
      </c>
      <c r="D81" s="186">
        <f>7408/D7</f>
        <v>251.97278911564626</v>
      </c>
      <c r="E81" s="186">
        <f>10279/E7</f>
        <v>330.90815439590511</v>
      </c>
      <c r="F81" s="186">
        <f>8286/F7</f>
        <v>260.04268139593273</v>
      </c>
      <c r="G81" s="186">
        <f>6817/G7</f>
        <v>176.46906549314002</v>
      </c>
      <c r="H81" s="186">
        <f>11085/H7</f>
        <v>180.97368249200025</v>
      </c>
      <c r="I81" s="186">
        <f>9871/I7</f>
        <v>147.36519950883243</v>
      </c>
      <c r="J81" s="186">
        <f>8899/J7</f>
        <v>153.11753952037853</v>
      </c>
      <c r="K81" s="199">
        <f>J81*K42/J42</f>
        <v>153.11753952037853</v>
      </c>
      <c r="L81" s="199">
        <f>K81*L42/K42</f>
        <v>153.11753952037853</v>
      </c>
      <c r="M81" s="199">
        <f>L81*M42/L42</f>
        <v>153.11753952037853</v>
      </c>
      <c r="N81" s="199">
        <f>M81*N42/M42</f>
        <v>153.11753952037853</v>
      </c>
      <c r="O81" s="199">
        <f>N81*O42/N42</f>
        <v>153.11753952037853</v>
      </c>
      <c r="P81" s="207" t="s">
        <v>143</v>
      </c>
      <c r="U81" s="151"/>
      <c r="V81" s="151"/>
      <c r="W81" s="151"/>
      <c r="X81" s="151"/>
      <c r="Y81" s="151"/>
      <c r="Z81" s="151"/>
      <c r="AA81" s="151"/>
      <c r="AB81" s="151"/>
      <c r="AC81" s="151"/>
    </row>
    <row r="82" spans="1:29" ht="15.75" customHeight="1" outlineLevel="1">
      <c r="A82" s="204" t="s">
        <v>110</v>
      </c>
      <c r="B82" s="204"/>
      <c r="C82" s="186">
        <v>149</v>
      </c>
      <c r="D82" s="186">
        <v>153</v>
      </c>
      <c r="E82" s="186">
        <v>153</v>
      </c>
      <c r="F82" s="186">
        <v>141</v>
      </c>
      <c r="G82" s="186">
        <v>145</v>
      </c>
      <c r="H82" s="186">
        <v>119</v>
      </c>
      <c r="I82" s="186">
        <v>0</v>
      </c>
      <c r="J82" s="186">
        <f>J39*J83</f>
        <v>0</v>
      </c>
      <c r="K82" s="199">
        <f>K39*K83</f>
        <v>0</v>
      </c>
      <c r="L82" s="199">
        <f>L39*L83</f>
        <v>0</v>
      </c>
      <c r="M82" s="199">
        <f>M39*M83</f>
        <v>0</v>
      </c>
      <c r="N82" s="199">
        <f>N39*N83</f>
        <v>0</v>
      </c>
      <c r="O82" s="199">
        <f>O39*O83</f>
        <v>0</v>
      </c>
      <c r="P82" s="397" t="s">
        <v>206</v>
      </c>
      <c r="R82" s="172"/>
      <c r="S82" s="172"/>
      <c r="T82" s="172"/>
      <c r="U82" s="151"/>
      <c r="V82" s="151"/>
      <c r="W82" s="151"/>
      <c r="X82" s="151"/>
      <c r="Y82" s="151"/>
      <c r="Z82" s="151"/>
      <c r="AA82" s="151"/>
      <c r="AB82" s="151"/>
      <c r="AC82" s="151"/>
    </row>
    <row r="83" spans="1:29" ht="15.75" customHeight="1" outlineLevel="1">
      <c r="A83" s="196" t="s">
        <v>141</v>
      </c>
      <c r="B83" s="196"/>
      <c r="C83" s="200">
        <f t="shared" ref="C83:H83" si="111">C82/C39</f>
        <v>0.21562952243125905</v>
      </c>
      <c r="D83" s="200">
        <f t="shared" si="111"/>
        <v>0.20264900662251656</v>
      </c>
      <c r="E83" s="200">
        <f t="shared" si="111"/>
        <v>0.17978848413631021</v>
      </c>
      <c r="F83" s="200">
        <f t="shared" si="111"/>
        <v>0.19262295081967212</v>
      </c>
      <c r="G83" s="200">
        <f t="shared" si="111"/>
        <v>0.20251396648044692</v>
      </c>
      <c r="H83" s="200">
        <f t="shared" si="111"/>
        <v>0.20517241379310344</v>
      </c>
      <c r="I83" s="186">
        <v>0</v>
      </c>
      <c r="J83" s="186">
        <f>I83</f>
        <v>0</v>
      </c>
      <c r="K83" s="199">
        <f>J83</f>
        <v>0</v>
      </c>
      <c r="L83" s="199">
        <f t="shared" ref="L83:O83" si="112">K83</f>
        <v>0</v>
      </c>
      <c r="M83" s="199">
        <f t="shared" si="112"/>
        <v>0</v>
      </c>
      <c r="N83" s="199">
        <f t="shared" si="112"/>
        <v>0</v>
      </c>
      <c r="O83" s="199">
        <f t="shared" si="112"/>
        <v>0</v>
      </c>
      <c r="P83" s="164"/>
      <c r="R83" s="172"/>
      <c r="S83" s="172"/>
      <c r="T83" s="172"/>
      <c r="U83" s="151"/>
      <c r="V83" s="151"/>
      <c r="W83" s="151"/>
      <c r="X83" s="151"/>
      <c r="Y83" s="151"/>
      <c r="Z83" s="151"/>
      <c r="AA83" s="151"/>
      <c r="AB83" s="151"/>
      <c r="AC83" s="151"/>
    </row>
    <row r="84" spans="1:29" ht="15.75" customHeight="1" outlineLevel="1">
      <c r="A84" s="196" t="s">
        <v>142</v>
      </c>
      <c r="B84" s="196"/>
      <c r="C84" s="186">
        <f>10508/C7</f>
        <v>346.11330698287219</v>
      </c>
      <c r="D84" s="186">
        <f>13578/D7</f>
        <v>461.83673469387759</v>
      </c>
      <c r="E84" s="186">
        <f>14628/E7</f>
        <v>470.91394907124231</v>
      </c>
      <c r="F84" s="186">
        <f>11803/F7</f>
        <v>370.41802661310567</v>
      </c>
      <c r="G84" s="186">
        <f>11307/G7</f>
        <v>292.69997411338335</v>
      </c>
      <c r="H84" s="186">
        <f>19193/H7</f>
        <v>313.3448703715797</v>
      </c>
      <c r="I84" s="186">
        <v>0</v>
      </c>
      <c r="J84" s="186">
        <f>I84*J42/I42</f>
        <v>0</v>
      </c>
      <c r="K84" s="199">
        <f>J84*K42/J42</f>
        <v>0</v>
      </c>
      <c r="L84" s="199">
        <f>K84*L42/K42</f>
        <v>0</v>
      </c>
      <c r="M84" s="199">
        <f>L84*M42/L42</f>
        <v>0</v>
      </c>
      <c r="N84" s="199">
        <f>M84*N42/M42</f>
        <v>0</v>
      </c>
      <c r="O84" s="199">
        <f>N84*O42/N42</f>
        <v>0</v>
      </c>
      <c r="P84" s="164"/>
      <c r="R84" s="172"/>
      <c r="S84" s="172"/>
      <c r="T84" s="172"/>
      <c r="U84" s="151"/>
      <c r="V84" s="151"/>
      <c r="W84" s="151"/>
      <c r="X84" s="151"/>
      <c r="Y84" s="151"/>
      <c r="Z84" s="151"/>
      <c r="AA84" s="151"/>
      <c r="AB84" s="151"/>
      <c r="AC84" s="151"/>
    </row>
    <row r="85" spans="1:29" ht="15.75" customHeight="1" outlineLevel="1">
      <c r="A85" s="180" t="s">
        <v>144</v>
      </c>
      <c r="B85" s="180"/>
      <c r="C85" s="181">
        <f>-871/C7</f>
        <v>-28.689064558629777</v>
      </c>
      <c r="D85" s="181">
        <f>-1003/D7</f>
        <v>-34.115646258503403</v>
      </c>
      <c r="E85" s="181">
        <f>-1175/E7</f>
        <v>-37.826352895728036</v>
      </c>
      <c r="F85" s="181">
        <f>-848/F7</f>
        <v>-26.613105699221691</v>
      </c>
      <c r="G85" s="181">
        <f>-743/G7</f>
        <v>-19.233756148071446</v>
      </c>
      <c r="H85" s="181">
        <f>-856/H7</f>
        <v>-13.97505387579181</v>
      </c>
      <c r="I85" s="181">
        <f>-I88*I86/1000</f>
        <v>0</v>
      </c>
      <c r="J85" s="181">
        <f t="shared" ref="J85:M85" si="113">-J88*J86/1000</f>
        <v>0</v>
      </c>
      <c r="K85" s="192">
        <f t="shared" si="113"/>
        <v>0</v>
      </c>
      <c r="L85" s="192">
        <f t="shared" si="113"/>
        <v>0</v>
      </c>
      <c r="M85" s="192">
        <f t="shared" si="113"/>
        <v>0</v>
      </c>
      <c r="N85" s="192">
        <f t="shared" ref="N85:O85" si="114">-N88*N86/1000</f>
        <v>0</v>
      </c>
      <c r="O85" s="192">
        <f t="shared" si="114"/>
        <v>0</v>
      </c>
      <c r="P85" s="164"/>
      <c r="R85" s="172"/>
      <c r="S85" s="172"/>
      <c r="T85" s="172"/>
      <c r="U85" s="151"/>
      <c r="V85" s="151"/>
      <c r="W85" s="151"/>
      <c r="X85" s="151"/>
      <c r="Y85" s="151"/>
      <c r="Z85" s="151"/>
      <c r="AA85" s="151"/>
      <c r="AB85" s="151"/>
      <c r="AC85" s="151"/>
    </row>
    <row r="86" spans="1:29" ht="15.75" customHeight="1" outlineLevel="1">
      <c r="A86" s="197" t="s">
        <v>145</v>
      </c>
      <c r="B86" s="197"/>
      <c r="C86" s="186">
        <v>165.03100000000001</v>
      </c>
      <c r="D86" s="186">
        <v>165.108</v>
      </c>
      <c r="E86" s="186">
        <v>192</v>
      </c>
      <c r="F86" s="186">
        <v>161</v>
      </c>
      <c r="G86" s="186">
        <v>146</v>
      </c>
      <c r="H86" s="186">
        <v>107</v>
      </c>
      <c r="I86" s="186">
        <v>0</v>
      </c>
      <c r="J86" s="186">
        <v>0</v>
      </c>
      <c r="K86" s="333">
        <v>0</v>
      </c>
      <c r="L86" s="333">
        <v>0</v>
      </c>
      <c r="M86" s="333">
        <v>0</v>
      </c>
      <c r="N86" s="333">
        <v>0</v>
      </c>
      <c r="O86" s="333">
        <v>0</v>
      </c>
      <c r="P86" s="164"/>
      <c r="R86" s="172"/>
      <c r="S86" s="172"/>
      <c r="T86" s="172"/>
      <c r="U86" s="151"/>
      <c r="V86" s="151"/>
      <c r="W86" s="151"/>
      <c r="X86" s="151"/>
      <c r="Y86" s="151"/>
      <c r="Z86" s="151"/>
      <c r="AA86" s="151"/>
      <c r="AB86" s="151"/>
      <c r="AC86" s="151"/>
    </row>
    <row r="87" spans="1:29" ht="15.75" customHeight="1" outlineLevel="1">
      <c r="A87" s="197" t="s">
        <v>146</v>
      </c>
      <c r="B87" s="197"/>
      <c r="C87" s="200">
        <f t="shared" ref="C87:H87" si="115">C86/C17</f>
        <v>1.6839897959183674</v>
      </c>
      <c r="D87" s="200">
        <f t="shared" si="115"/>
        <v>1.8345333333333333</v>
      </c>
      <c r="E87" s="200">
        <f t="shared" si="115"/>
        <v>2.1818181818181817</v>
      </c>
      <c r="F87" s="200">
        <f t="shared" si="115"/>
        <v>1.9876543209876543</v>
      </c>
      <c r="G87" s="200">
        <f t="shared" si="115"/>
        <v>1.9466666666666668</v>
      </c>
      <c r="H87" s="200">
        <f t="shared" si="115"/>
        <v>1.8771929824561404</v>
      </c>
      <c r="I87" s="186">
        <v>0</v>
      </c>
      <c r="J87" s="186">
        <v>0</v>
      </c>
      <c r="K87" s="333">
        <v>0</v>
      </c>
      <c r="L87" s="333">
        <v>0</v>
      </c>
      <c r="M87" s="333">
        <v>0</v>
      </c>
      <c r="N87" s="333">
        <v>0</v>
      </c>
      <c r="O87" s="333">
        <v>0</v>
      </c>
      <c r="P87" s="164"/>
      <c r="R87" s="172"/>
      <c r="S87" s="172"/>
      <c r="T87" s="172"/>
      <c r="U87" s="151"/>
      <c r="V87" s="151"/>
      <c r="W87" s="151"/>
      <c r="X87" s="151"/>
      <c r="Y87" s="151"/>
      <c r="Z87" s="151"/>
      <c r="AA87" s="151"/>
      <c r="AB87" s="151"/>
      <c r="AC87" s="151"/>
    </row>
    <row r="88" spans="1:29" ht="15.75" customHeight="1" outlineLevel="1">
      <c r="A88" s="197" t="s">
        <v>147</v>
      </c>
      <c r="B88" s="197"/>
      <c r="C88" s="186">
        <f t="shared" ref="C88:H88" si="116">-C85*1000/C86</f>
        <v>173.84045760269146</v>
      </c>
      <c r="D88" s="186">
        <f t="shared" si="116"/>
        <v>206.62624620553456</v>
      </c>
      <c r="E88" s="186">
        <f t="shared" si="116"/>
        <v>197.0122546652502</v>
      </c>
      <c r="F88" s="186">
        <f t="shared" si="116"/>
        <v>165.29879316286764</v>
      </c>
      <c r="G88" s="186">
        <f t="shared" si="116"/>
        <v>131.73805580870854</v>
      </c>
      <c r="H88" s="186">
        <f t="shared" si="116"/>
        <v>130.607980147587</v>
      </c>
      <c r="I88" s="186">
        <v>0</v>
      </c>
      <c r="J88" s="186">
        <v>0</v>
      </c>
      <c r="K88" s="333">
        <v>0</v>
      </c>
      <c r="L88" s="333">
        <v>0</v>
      </c>
      <c r="M88" s="333">
        <v>0</v>
      </c>
      <c r="N88" s="333">
        <v>0</v>
      </c>
      <c r="O88" s="333">
        <v>0</v>
      </c>
      <c r="P88" s="164"/>
      <c r="R88" s="172"/>
      <c r="S88" s="172"/>
      <c r="T88" s="172"/>
      <c r="U88" s="151"/>
      <c r="V88" s="151"/>
      <c r="W88" s="151"/>
      <c r="X88" s="151"/>
      <c r="Y88" s="151"/>
      <c r="Z88" s="151"/>
      <c r="AA88" s="151"/>
      <c r="AB88" s="151"/>
      <c r="AC88" s="151"/>
    </row>
    <row r="89" spans="1:29" ht="15.75" customHeight="1" outlineLevel="1">
      <c r="A89" s="202" t="s">
        <v>108</v>
      </c>
      <c r="B89" s="202"/>
      <c r="C89" s="186"/>
      <c r="D89" s="178">
        <f>D88/C88-1</f>
        <v>0.18859699896657145</v>
      </c>
      <c r="E89" s="178">
        <f t="shared" ref="E89:F89" si="117">E88/D88-1</f>
        <v>-4.6528414065661106E-2</v>
      </c>
      <c r="F89" s="178">
        <f t="shared" si="117"/>
        <v>-0.16097202458937343</v>
      </c>
      <c r="G89" s="178">
        <f>G88/F88-1</f>
        <v>-0.20303074639566165</v>
      </c>
      <c r="H89" s="178">
        <f>H88/G88-1</f>
        <v>-8.5782020554673322E-3</v>
      </c>
      <c r="I89" s="336">
        <v>0</v>
      </c>
      <c r="J89" s="336">
        <v>0</v>
      </c>
      <c r="K89" s="335">
        <v>0</v>
      </c>
      <c r="L89" s="335">
        <v>0</v>
      </c>
      <c r="M89" s="335">
        <v>0</v>
      </c>
      <c r="N89" s="335">
        <v>0</v>
      </c>
      <c r="O89" s="335">
        <v>0</v>
      </c>
      <c r="P89" s="164"/>
      <c r="R89" s="172"/>
      <c r="S89" s="172"/>
      <c r="T89" s="172"/>
      <c r="U89" s="151"/>
      <c r="V89" s="151"/>
      <c r="W89" s="151"/>
      <c r="X89" s="151"/>
      <c r="Y89" s="151"/>
      <c r="Z89" s="151"/>
      <c r="AA89" s="151"/>
      <c r="AB89" s="151"/>
      <c r="AC89" s="151"/>
    </row>
    <row r="90" spans="1:29" ht="15.75" customHeight="1" outlineLevel="1">
      <c r="A90" s="180" t="s">
        <v>148</v>
      </c>
      <c r="B90" s="180"/>
      <c r="C90" s="181">
        <f>-811/C7</f>
        <v>-26.712779973649539</v>
      </c>
      <c r="D90" s="181">
        <f>-1158/D7</f>
        <v>-39.387755102040821</v>
      </c>
      <c r="E90" s="181">
        <f>-1109/E7</f>
        <v>-35.7016386054148</v>
      </c>
      <c r="F90" s="181">
        <f>-789/F7</f>
        <v>-24.761486316846597</v>
      </c>
      <c r="G90" s="181">
        <f>-790/G7</f>
        <v>-20.450427129174216</v>
      </c>
      <c r="H90" s="181">
        <f>-1179/H7</f>
        <v>-19.248351074250635</v>
      </c>
      <c r="I90" s="181">
        <f>-I91*I92/1000</f>
        <v>0</v>
      </c>
      <c r="J90" s="181">
        <f>-J91*J92/1000</f>
        <v>0</v>
      </c>
      <c r="K90" s="192">
        <f>-K91*K92/1000</f>
        <v>0</v>
      </c>
      <c r="L90" s="192">
        <f t="shared" ref="L90:M90" si="118">-L91*L92/1000</f>
        <v>0</v>
      </c>
      <c r="M90" s="192">
        <f t="shared" si="118"/>
        <v>0</v>
      </c>
      <c r="N90" s="192">
        <f>-N91*N92/1000</f>
        <v>0</v>
      </c>
      <c r="O90" s="192">
        <f>-O91*O92/1000</f>
        <v>0</v>
      </c>
      <c r="P90" s="164"/>
      <c r="R90" s="172"/>
      <c r="S90" s="172"/>
      <c r="T90" s="172"/>
      <c r="U90" s="151"/>
      <c r="V90" s="151"/>
      <c r="W90" s="151"/>
      <c r="X90" s="151"/>
      <c r="Y90" s="151"/>
      <c r="Z90" s="151"/>
      <c r="AA90" s="151"/>
      <c r="AB90" s="151"/>
      <c r="AC90" s="151"/>
    </row>
    <row r="91" spans="1:29" ht="15.75" customHeight="1" outlineLevel="1">
      <c r="A91" s="197" t="s">
        <v>149</v>
      </c>
      <c r="B91" s="197"/>
      <c r="C91" s="186">
        <v>155</v>
      </c>
      <c r="D91" s="186">
        <v>151</v>
      </c>
      <c r="E91" s="186">
        <v>138</v>
      </c>
      <c r="F91" s="186">
        <v>136</v>
      </c>
      <c r="G91" s="186">
        <v>118</v>
      </c>
      <c r="H91" s="186">
        <v>103</v>
      </c>
      <c r="I91" s="186">
        <v>0</v>
      </c>
      <c r="J91" s="186">
        <v>0</v>
      </c>
      <c r="K91" s="199">
        <v>0</v>
      </c>
      <c r="L91" s="199">
        <v>0</v>
      </c>
      <c r="M91" s="199">
        <v>0</v>
      </c>
      <c r="N91" s="199">
        <f>N54*0.333</f>
        <v>0</v>
      </c>
      <c r="O91" s="199">
        <f>O54*0.333</f>
        <v>0</v>
      </c>
      <c r="P91" s="164"/>
      <c r="R91" s="172"/>
      <c r="S91" s="172"/>
      <c r="T91" s="172"/>
      <c r="U91" s="151"/>
      <c r="V91" s="151"/>
      <c r="W91" s="151"/>
      <c r="X91" s="151"/>
      <c r="Y91" s="151"/>
      <c r="Z91" s="151"/>
      <c r="AA91" s="151"/>
      <c r="AB91" s="151"/>
      <c r="AC91" s="151"/>
    </row>
    <row r="92" spans="1:29" ht="15.75" customHeight="1" outlineLevel="1">
      <c r="A92" s="197" t="s">
        <v>150</v>
      </c>
      <c r="B92" s="197"/>
      <c r="C92" s="186">
        <f>-C90*1000/C91</f>
        <v>172.34051595902929</v>
      </c>
      <c r="D92" s="186">
        <f t="shared" ref="D92:E92" si="119">-D90*1000/D91</f>
        <v>260.84606027841602</v>
      </c>
      <c r="E92" s="186">
        <f t="shared" si="119"/>
        <v>258.70752612619424</v>
      </c>
      <c r="F92" s="186">
        <f>-F90*1000/F91</f>
        <v>182.06975232975438</v>
      </c>
      <c r="G92" s="186">
        <f>-G90*1000/G91</f>
        <v>173.30870448452725</v>
      </c>
      <c r="H92" s="186">
        <f>-H90*1000/H91</f>
        <v>186.87719489563725</v>
      </c>
      <c r="I92" s="186">
        <f>I48*0.65</f>
        <v>44.85</v>
      </c>
      <c r="J92" s="186">
        <v>0</v>
      </c>
      <c r="K92" s="199">
        <v>0</v>
      </c>
      <c r="L92" s="199">
        <v>0</v>
      </c>
      <c r="M92" s="199">
        <v>0</v>
      </c>
      <c r="N92" s="199">
        <v>0</v>
      </c>
      <c r="O92" s="199">
        <v>0</v>
      </c>
      <c r="P92" s="164"/>
      <c r="R92" s="172"/>
      <c r="S92" s="172"/>
      <c r="T92" s="172"/>
      <c r="U92" s="151"/>
      <c r="V92" s="151"/>
      <c r="W92" s="151"/>
      <c r="X92" s="151"/>
      <c r="Y92" s="151"/>
      <c r="Z92" s="151"/>
      <c r="AA92" s="151"/>
      <c r="AB92" s="151"/>
      <c r="AC92" s="151"/>
    </row>
    <row r="93" spans="1:29" ht="15.75" customHeight="1" outlineLevel="1">
      <c r="A93" s="197" t="s">
        <v>151</v>
      </c>
      <c r="B93" s="197"/>
      <c r="C93" s="186">
        <v>148</v>
      </c>
      <c r="D93" s="186">
        <v>226</v>
      </c>
      <c r="E93" s="186">
        <v>199</v>
      </c>
      <c r="F93" s="186">
        <v>129</v>
      </c>
      <c r="G93" s="186">
        <v>158</v>
      </c>
      <c r="H93" s="186">
        <f>G93</f>
        <v>158</v>
      </c>
      <c r="I93" s="186">
        <v>0</v>
      </c>
      <c r="J93" s="186">
        <v>0</v>
      </c>
      <c r="K93" s="199">
        <v>0</v>
      </c>
      <c r="L93" s="199">
        <v>0</v>
      </c>
      <c r="M93" s="199">
        <v>0</v>
      </c>
      <c r="N93" s="199">
        <v>0</v>
      </c>
      <c r="O93" s="199">
        <v>0</v>
      </c>
      <c r="P93" s="164"/>
      <c r="R93" s="172"/>
      <c r="S93" s="172"/>
      <c r="T93" s="172"/>
      <c r="U93" s="151"/>
      <c r="V93" s="151"/>
      <c r="W93" s="151"/>
      <c r="X93" s="151"/>
      <c r="Y93" s="151"/>
      <c r="Z93" s="151"/>
      <c r="AA93" s="151"/>
      <c r="AB93" s="151"/>
      <c r="AC93" s="151"/>
    </row>
    <row r="94" spans="1:29" ht="15.75" customHeight="1" outlineLevel="1">
      <c r="A94" s="202" t="s">
        <v>152</v>
      </c>
      <c r="B94" s="202"/>
      <c r="C94" s="190">
        <f t="shared" ref="C94:H94" si="120">C92-C93</f>
        <v>24.34051595902929</v>
      </c>
      <c r="D94" s="190">
        <f t="shared" si="120"/>
        <v>34.846060278416019</v>
      </c>
      <c r="E94" s="190">
        <f t="shared" si="120"/>
        <v>59.707526126194239</v>
      </c>
      <c r="F94" s="190">
        <f t="shared" si="120"/>
        <v>53.06975232975438</v>
      </c>
      <c r="G94" s="190">
        <f t="shared" si="120"/>
        <v>15.308704484527254</v>
      </c>
      <c r="H94" s="190">
        <f t="shared" si="120"/>
        <v>28.877194895637246</v>
      </c>
      <c r="I94" s="186">
        <v>0</v>
      </c>
      <c r="J94" s="186">
        <v>0</v>
      </c>
      <c r="K94" s="334">
        <v>0</v>
      </c>
      <c r="L94" s="334">
        <v>0</v>
      </c>
      <c r="M94" s="334">
        <v>0</v>
      </c>
      <c r="N94" s="334">
        <v>0</v>
      </c>
      <c r="O94" s="334">
        <v>0</v>
      </c>
      <c r="P94" s="164"/>
      <c r="R94" s="172"/>
      <c r="S94" s="172"/>
      <c r="T94" s="172"/>
      <c r="U94" s="151"/>
      <c r="V94" s="151"/>
      <c r="W94" s="151"/>
      <c r="X94" s="151"/>
      <c r="Y94" s="151"/>
      <c r="Z94" s="151"/>
      <c r="AA94" s="151"/>
      <c r="AB94" s="151"/>
      <c r="AC94" s="151"/>
    </row>
    <row r="95" spans="1:29" ht="15.75" customHeight="1" outlineLevel="1">
      <c r="A95" s="180" t="s">
        <v>153</v>
      </c>
      <c r="B95" s="180"/>
      <c r="C95" s="181">
        <f>(-1043+123)/C7</f>
        <v>-30.303030303030305</v>
      </c>
      <c r="D95" s="181">
        <f>(-4409+1699)/D7</f>
        <v>-92.176870748299322</v>
      </c>
      <c r="E95" s="181">
        <f>(-5023+1908)/E7</f>
        <v>-100.2800759746322</v>
      </c>
      <c r="F95" s="181">
        <f>(-2976-1112)/F7</f>
        <v>-128.29525483304042</v>
      </c>
      <c r="G95" s="181">
        <f>(-6152+730)/G7</f>
        <v>-140.35723530934507</v>
      </c>
      <c r="H95" s="181">
        <f>(-10486+3825)/H7</f>
        <v>-108.74746947038463</v>
      </c>
      <c r="I95" s="181">
        <f>(-2296-321)/I7</f>
        <v>-39.069468859752256</v>
      </c>
      <c r="J95" s="181">
        <f>-4736/J7</f>
        <v>-81.48833207871813</v>
      </c>
      <c r="K95" s="192">
        <f>K9*K96</f>
        <v>-76.361362316465588</v>
      </c>
      <c r="L95" s="192">
        <f t="shared" ref="L95:O95" si="121">L9*L96</f>
        <v>-78.417482026454351</v>
      </c>
      <c r="M95" s="192">
        <f t="shared" si="121"/>
        <v>-85.312103285648234</v>
      </c>
      <c r="N95" s="192">
        <f t="shared" si="121"/>
        <v>-95.83971740796882</v>
      </c>
      <c r="O95" s="192">
        <f t="shared" si="121"/>
        <v>-97.234044539098008</v>
      </c>
      <c r="P95" s="164" t="s">
        <v>128</v>
      </c>
      <c r="R95" s="172"/>
      <c r="S95" s="172"/>
      <c r="T95" s="172"/>
      <c r="U95" s="151"/>
      <c r="V95" s="151"/>
      <c r="W95" s="151"/>
      <c r="X95" s="151"/>
      <c r="Y95" s="151"/>
      <c r="Z95" s="151"/>
      <c r="AA95" s="151"/>
      <c r="AB95" s="151"/>
      <c r="AC95" s="151"/>
    </row>
    <row r="96" spans="1:29" ht="15.75" customHeight="1" outlineLevel="1">
      <c r="A96" s="202" t="s">
        <v>108</v>
      </c>
      <c r="B96" s="202"/>
      <c r="C96" s="178">
        <f>C95/C9</f>
        <v>-2.0676945206095206E-2</v>
      </c>
      <c r="D96" s="178">
        <f>D95/D9</f>
        <v>-4.2912338484925261E-2</v>
      </c>
      <c r="E96" s="178">
        <f t="shared" ref="E96:J96" si="122">E95/E9</f>
        <v>-4.5008597147769794E-2</v>
      </c>
      <c r="F96" s="178">
        <f t="shared" si="122"/>
        <v>-6.1996693914072094E-2</v>
      </c>
      <c r="G96" s="178">
        <f t="shared" si="122"/>
        <v>-7.5855507988471987E-2</v>
      </c>
      <c r="H96" s="178">
        <f t="shared" si="122"/>
        <v>-6.5526841313094539E-2</v>
      </c>
      <c r="I96" s="178">
        <f t="shared" si="122"/>
        <v>-3.0585292880183256E-2</v>
      </c>
      <c r="J96" s="178">
        <f t="shared" si="122"/>
        <v>-5.2597676639790321E-2</v>
      </c>
      <c r="K96" s="179">
        <v>-4.4999999999999998E-2</v>
      </c>
      <c r="L96" s="179">
        <f>K96</f>
        <v>-4.4999999999999998E-2</v>
      </c>
      <c r="M96" s="179">
        <f t="shared" ref="M96:N96" si="123">L96</f>
        <v>-4.4999999999999998E-2</v>
      </c>
      <c r="N96" s="179">
        <f t="shared" si="123"/>
        <v>-4.4999999999999998E-2</v>
      </c>
      <c r="O96" s="179">
        <f t="shared" ref="O96" si="124">N96</f>
        <v>-4.4999999999999998E-2</v>
      </c>
      <c r="P96" s="164"/>
      <c r="R96" s="172"/>
      <c r="S96" s="172"/>
      <c r="T96" s="172"/>
      <c r="U96" s="151"/>
      <c r="V96" s="151"/>
      <c r="W96" s="151"/>
      <c r="X96" s="151"/>
      <c r="Y96" s="151"/>
      <c r="Z96" s="151"/>
      <c r="AA96" s="151"/>
      <c r="AB96" s="151"/>
      <c r="AC96" s="151"/>
    </row>
    <row r="97" spans="1:29" ht="15.75" customHeight="1" outlineLevel="1">
      <c r="A97" s="180" t="s">
        <v>154</v>
      </c>
      <c r="B97" s="180"/>
      <c r="C97" s="181">
        <f>(-5543+1544+700)/C7</f>
        <v>-108.6627140974967</v>
      </c>
      <c r="D97" s="181">
        <f>(-6586+1011+1268)/D7</f>
        <v>-146.49659863945578</v>
      </c>
      <c r="E97" s="181">
        <f>(-6751+929+974)/E7</f>
        <v>-156.06992241573576</v>
      </c>
      <c r="F97" s="181">
        <f>(-7578+990+975)/F7</f>
        <v>-176.15490836053226</v>
      </c>
      <c r="G97" s="181">
        <f>(-8833+1442+1711)/G7</f>
        <v>-147.0359823971007</v>
      </c>
      <c r="H97" s="181">
        <f>(-11479+2497+1905)/H7</f>
        <v>-115.53908443805916</v>
      </c>
      <c r="I97" s="181">
        <f>(-11943+2427+1368)/I7</f>
        <v>-121.64235088622902</v>
      </c>
      <c r="J97" s="181">
        <f>(-13728+2747+1553)/J7</f>
        <v>-162.2195935046779</v>
      </c>
      <c r="K97" s="192">
        <f t="shared" ref="K97:M97" si="125">J97*(1+K98)*(K11)/(J11)*J7/K7</f>
        <v>-173.80602777759339</v>
      </c>
      <c r="L97" s="192">
        <f t="shared" si="125"/>
        <v>-181.53721784766282</v>
      </c>
      <c r="M97" s="192">
        <f t="shared" si="125"/>
        <v>-198.20050854512766</v>
      </c>
      <c r="N97" s="192">
        <f>M97*(1+N98)*(N11)/(M11)*M7/N7</f>
        <v>-219.7366813326621</v>
      </c>
      <c r="O97" s="192">
        <f>N97*(1+O98)*(O11)/(N11)*N7/O7</f>
        <v>-224.13141495931532</v>
      </c>
      <c r="P97" s="164" t="s">
        <v>107</v>
      </c>
      <c r="R97" s="172"/>
      <c r="S97" s="172"/>
      <c r="T97" s="172"/>
      <c r="U97" s="151"/>
      <c r="V97" s="151"/>
      <c r="W97" s="151"/>
      <c r="X97" s="151"/>
      <c r="Y97" s="151"/>
      <c r="Z97" s="151"/>
      <c r="AA97" s="151"/>
      <c r="AB97" s="151"/>
      <c r="AC97" s="151"/>
    </row>
    <row r="98" spans="1:29" ht="15.75" customHeight="1" outlineLevel="1">
      <c r="A98" s="202" t="s">
        <v>108</v>
      </c>
      <c r="B98" s="202"/>
      <c r="C98" s="186"/>
      <c r="D98" s="178">
        <f t="shared" ref="D98:G98" si="126">D97/C97*D7/C7*C11/D11-1</f>
        <v>0.24740707894030223</v>
      </c>
      <c r="E98" s="178">
        <f t="shared" si="126"/>
        <v>0.12492688022413612</v>
      </c>
      <c r="F98" s="178">
        <f t="shared" si="126"/>
        <v>0.11769023948332458</v>
      </c>
      <c r="G98" s="178">
        <f t="shared" si="126"/>
        <v>-1.7048966488963813E-2</v>
      </c>
      <c r="H98" s="178">
        <f>H97/G97*H7/G7*G11/H11-1</f>
        <v>0.22451237072216834</v>
      </c>
      <c r="I98" s="178">
        <f>I97/H97*I7/H7*H11/I11-1</f>
        <v>0.11301670105474737</v>
      </c>
      <c r="J98" s="178">
        <f>J97/I97*J7/I7*I11/J11-1</f>
        <v>2.0405199921029737E-3</v>
      </c>
      <c r="K98" s="179">
        <v>4.4999999999999998E-2</v>
      </c>
      <c r="L98" s="179">
        <f>K98</f>
        <v>4.4999999999999998E-2</v>
      </c>
      <c r="M98" s="179">
        <f>L98</f>
        <v>4.4999999999999998E-2</v>
      </c>
      <c r="N98" s="179">
        <f>M98</f>
        <v>4.4999999999999998E-2</v>
      </c>
      <c r="O98" s="179">
        <f>N98</f>
        <v>4.4999999999999998E-2</v>
      </c>
      <c r="P98" s="164"/>
      <c r="R98" s="172"/>
      <c r="S98" s="172"/>
      <c r="T98" s="172"/>
      <c r="U98" s="151"/>
      <c r="V98" s="151"/>
      <c r="W98" s="151"/>
      <c r="X98" s="151"/>
      <c r="Y98" s="151"/>
      <c r="Z98" s="151"/>
      <c r="AA98" s="151"/>
      <c r="AB98" s="151"/>
      <c r="AC98" s="151"/>
    </row>
    <row r="99" spans="1:29" ht="15.75" customHeight="1" outlineLevel="1">
      <c r="A99" s="180" t="s">
        <v>279</v>
      </c>
      <c r="B99" s="180"/>
      <c r="C99" s="181">
        <f>(-1719-2949)/C7</f>
        <v>-153.75494071146247</v>
      </c>
      <c r="D99" s="181">
        <f>(-1873-4040)/D7</f>
        <v>-201.12244897959184</v>
      </c>
      <c r="E99" s="181">
        <f>(-2345-4585)/E7</f>
        <v>-223.09500048288962</v>
      </c>
      <c r="F99" s="181">
        <f>(-2238-5466)/F7</f>
        <v>-241.77755460708008</v>
      </c>
      <c r="G99" s="181">
        <f>(-5067-2913)/G7</f>
        <v>-206.57520062127878</v>
      </c>
      <c r="H99" s="181">
        <f>(-6016-3744)/H7</f>
        <v>-159.34173578005615</v>
      </c>
      <c r="I99" s="181">
        <f>(-6875-3851)/I7</f>
        <v>-160.12958463496471</v>
      </c>
      <c r="J99" s="181">
        <f>(-6062-3624)/J7</f>
        <v>-166.65878051403374</v>
      </c>
      <c r="K99" s="192">
        <f t="shared" ref="K99:O99" si="127">J99*J7*(1-K103)*(1+J101*K102)/K7+$I99*K103</f>
        <v>-166.25085807014241</v>
      </c>
      <c r="L99" s="192">
        <f t="shared" si="127"/>
        <v>-163.43935233768312</v>
      </c>
      <c r="M99" s="192">
        <f t="shared" si="127"/>
        <v>-161.23439764350246</v>
      </c>
      <c r="N99" s="192">
        <f t="shared" si="127"/>
        <v>-159.82444937571694</v>
      </c>
      <c r="O99" s="192">
        <f t="shared" si="127"/>
        <v>-159.05517004171489</v>
      </c>
      <c r="P99" s="164"/>
      <c r="R99" s="172"/>
      <c r="S99" s="172"/>
      <c r="T99" s="172"/>
      <c r="U99" s="151"/>
      <c r="V99" s="151"/>
      <c r="W99" s="151"/>
      <c r="X99" s="151"/>
      <c r="Y99" s="151"/>
      <c r="Z99" s="151"/>
      <c r="AA99" s="151"/>
      <c r="AB99" s="151"/>
      <c r="AC99" s="151"/>
    </row>
    <row r="100" spans="1:29" ht="15.75" customHeight="1" outlineLevel="1">
      <c r="A100" s="202" t="s">
        <v>108</v>
      </c>
      <c r="B100" s="202"/>
      <c r="C100" s="186"/>
      <c r="D100" s="178">
        <f t="shared" ref="D100:I100" si="128">D99/C99*D7/C7-1</f>
        <v>0.26670951156812328</v>
      </c>
      <c r="E100" s="178">
        <f t="shared" si="128"/>
        <v>0.17199391171993916</v>
      </c>
      <c r="F100" s="178">
        <f t="shared" si="128"/>
        <v>0.11168831168831161</v>
      </c>
      <c r="G100" s="178">
        <f t="shared" si="128"/>
        <v>3.5825545171339623E-2</v>
      </c>
      <c r="H100" s="178">
        <f t="shared" si="128"/>
        <v>0.22305764411027584</v>
      </c>
      <c r="I100" s="178">
        <f t="shared" si="128"/>
        <v>9.8975409836065342E-2</v>
      </c>
      <c r="J100" s="178">
        <f>J99/I99*J7/I7-1</f>
        <v>-9.6960656349058372E-2</v>
      </c>
      <c r="K100" s="179">
        <f t="shared" ref="D100:O100" si="129">K99/J99*K7/J7-1</f>
        <v>1.5479044542694442E-3</v>
      </c>
      <c r="L100" s="179">
        <f t="shared" si="129"/>
        <v>1.1306051998138722E-2</v>
      </c>
      <c r="M100" s="179">
        <f t="shared" si="129"/>
        <v>1.6403708842804843E-2</v>
      </c>
      <c r="N100" s="179">
        <f t="shared" si="129"/>
        <v>1.8445658121813535E-2</v>
      </c>
      <c r="O100" s="179">
        <f t="shared" si="129"/>
        <v>1.9578554524384062E-2</v>
      </c>
      <c r="P100" s="164"/>
      <c r="R100" s="172"/>
      <c r="S100" s="172"/>
      <c r="T100" s="172"/>
      <c r="U100" s="151"/>
      <c r="V100" s="151"/>
      <c r="W100" s="151"/>
      <c r="X100" s="151"/>
      <c r="Y100" s="151"/>
      <c r="Z100" s="151"/>
      <c r="AA100" s="151"/>
      <c r="AB100" s="151"/>
      <c r="AC100" s="151"/>
    </row>
    <row r="101" spans="1:29" ht="15.75" customHeight="1" outlineLevel="1">
      <c r="A101" s="202" t="s">
        <v>155</v>
      </c>
      <c r="B101" s="202"/>
      <c r="C101" s="178">
        <f>[7]Macro!G$7</f>
        <v>8.7999999999999995E-2</v>
      </c>
      <c r="D101" s="178">
        <f>[7]Macro!H$7</f>
        <v>6.0999999999999999E-2</v>
      </c>
      <c r="E101" s="178">
        <f>[7]Macro!I$7</f>
        <v>6.6000000000000003E-2</v>
      </c>
      <c r="F101" s="178">
        <f>[7]Macro!J$7</f>
        <v>6.5000000000000002E-2</v>
      </c>
      <c r="G101" s="178">
        <f>[7]Macro!K$7</f>
        <v>0.114</v>
      </c>
      <c r="H101" s="178">
        <f>[7]Macro!L$7</f>
        <v>0.129</v>
      </c>
      <c r="I101" s="178">
        <f>[7]Macro!M$7</f>
        <v>5.3999999999999999E-2</v>
      </c>
      <c r="J101" s="178">
        <f>[7]Macro!N$7</f>
        <v>2.5000000000000001E-2</v>
      </c>
      <c r="K101" s="179">
        <f>[7]Macro!O$7</f>
        <v>0.04</v>
      </c>
      <c r="L101" s="179">
        <f>[7]Macro!P$7</f>
        <v>4.4999999999999998E-2</v>
      </c>
      <c r="M101" s="179">
        <f>[7]Macro!Q$7</f>
        <v>4.4999999999999998E-2</v>
      </c>
      <c r="N101" s="179">
        <f>[7]Macro!R$7</f>
        <v>4.4999999999999998E-2</v>
      </c>
      <c r="O101" s="179">
        <f>[7]Macro!S$7</f>
        <v>4.4999999999999998E-2</v>
      </c>
      <c r="P101" s="164"/>
      <c r="R101" s="172"/>
      <c r="S101" s="172"/>
      <c r="T101" s="172"/>
      <c r="U101" s="151"/>
      <c r="V101" s="151"/>
      <c r="W101" s="151"/>
      <c r="X101" s="151"/>
      <c r="Y101" s="151"/>
      <c r="Z101" s="151"/>
      <c r="AA101" s="151"/>
      <c r="AB101" s="151"/>
      <c r="AC101" s="151"/>
    </row>
    <row r="102" spans="1:29" ht="15.75" customHeight="1" outlineLevel="1">
      <c r="A102" s="202" t="s">
        <v>156</v>
      </c>
      <c r="B102" s="202"/>
      <c r="C102" s="186"/>
      <c r="D102" s="350">
        <f>D100/C101</f>
        <v>3.0307899041832194</v>
      </c>
      <c r="E102" s="350">
        <f>E100/D101</f>
        <v>2.8195723232776913</v>
      </c>
      <c r="F102" s="350">
        <f t="shared" ref="F102:H102" si="130">F100/E101</f>
        <v>1.6922471467926001</v>
      </c>
      <c r="G102" s="350">
        <f t="shared" si="130"/>
        <v>0.55116223340522497</v>
      </c>
      <c r="H102" s="350">
        <f t="shared" si="130"/>
        <v>1.9566460009673319</v>
      </c>
      <c r="I102" s="350">
        <f>I100/H101</f>
        <v>0.76725123903926618</v>
      </c>
      <c r="J102" s="350">
        <f>J100/I101</f>
        <v>-1.7955677101677476</v>
      </c>
      <c r="K102" s="209">
        <v>0.4</v>
      </c>
      <c r="L102" s="209">
        <f t="shared" ref="L102:L103" si="131">K102</f>
        <v>0.4</v>
      </c>
      <c r="M102" s="209">
        <f t="shared" ref="M102:M103" si="132">L102</f>
        <v>0.4</v>
      </c>
      <c r="N102" s="209">
        <f t="shared" ref="N102:O103" si="133">M102</f>
        <v>0.4</v>
      </c>
      <c r="O102" s="209">
        <f t="shared" si="133"/>
        <v>0.4</v>
      </c>
      <c r="P102" s="164"/>
      <c r="R102" s="172"/>
      <c r="S102" s="172"/>
      <c r="T102" s="172"/>
      <c r="U102" s="151"/>
      <c r="V102" s="151"/>
      <c r="W102" s="151"/>
      <c r="X102" s="151"/>
      <c r="Y102" s="151"/>
      <c r="Z102" s="151"/>
      <c r="AA102" s="151"/>
      <c r="AB102" s="151"/>
      <c r="AC102" s="151"/>
    </row>
    <row r="103" spans="1:29" ht="15.75" customHeight="1" outlineLevel="1">
      <c r="A103" s="202" t="s">
        <v>163</v>
      </c>
      <c r="B103" s="202"/>
      <c r="C103" s="186"/>
      <c r="D103" s="178"/>
      <c r="E103" s="178"/>
      <c r="F103" s="178"/>
      <c r="G103" s="209"/>
      <c r="H103" s="209"/>
      <c r="I103" s="351">
        <f>2000/(6875+3851)</f>
        <v>0.18646280067126608</v>
      </c>
      <c r="J103" s="420">
        <f>I103</f>
        <v>0.18646280067126608</v>
      </c>
      <c r="K103" s="352">
        <f t="shared" ref="K102:K103" si="134">J103</f>
        <v>0.18646280067126608</v>
      </c>
      <c r="L103" s="352">
        <f t="shared" si="131"/>
        <v>0.18646280067126608</v>
      </c>
      <c r="M103" s="352">
        <f t="shared" si="132"/>
        <v>0.18646280067126608</v>
      </c>
      <c r="N103" s="352">
        <f t="shared" si="133"/>
        <v>0.18646280067126608</v>
      </c>
      <c r="O103" s="352">
        <f t="shared" si="133"/>
        <v>0.18646280067126608</v>
      </c>
      <c r="P103" s="164"/>
      <c r="R103" s="172"/>
      <c r="S103" s="172"/>
      <c r="T103" s="172"/>
      <c r="U103" s="151"/>
      <c r="V103" s="151"/>
      <c r="W103" s="151"/>
      <c r="X103" s="151"/>
      <c r="Y103" s="151"/>
      <c r="Z103" s="151"/>
      <c r="AA103" s="151"/>
      <c r="AB103" s="151"/>
      <c r="AC103" s="151"/>
    </row>
    <row r="104" spans="1:29" ht="15.75" customHeight="1" outlineLevel="1">
      <c r="A104" s="180" t="s">
        <v>280</v>
      </c>
      <c r="B104" s="180"/>
      <c r="C104" s="181">
        <f>(-4364+1719-30-299-300)/C7</f>
        <v>-107.83926218708828</v>
      </c>
      <c r="D104" s="181">
        <f>(-4574+14+1873-361-418)/D7</f>
        <v>-117.89115646258504</v>
      </c>
      <c r="E104" s="181">
        <f>(-5476+8+2345-518-224-536-495)/E7</f>
        <v>-157.6151691723272</v>
      </c>
      <c r="F104" s="181">
        <f>(-5271+2238-763-204-482-421)/F7</f>
        <v>-153.87270901330655</v>
      </c>
      <c r="G104" s="181">
        <f>(-6446+426+2913-565-301-445-305)/G7</f>
        <v>-122.26249029251876</v>
      </c>
      <c r="H104" s="181">
        <f>(-8361+232+3744-555-154-750-363)/H7</f>
        <v>-101.33546659700907</v>
      </c>
      <c r="I104" s="181">
        <f>(-7806+81+3851-267-306-709-854)/I7</f>
        <v>-89.72392351819299</v>
      </c>
      <c r="J104" s="181">
        <f>(-7162+15+3624-398-300-670-886)/J7</f>
        <v>-99.399935476932995</v>
      </c>
      <c r="K104" s="192">
        <f>J104*(1+K106*K105)*(1+0.75*((K16+K22+K26+K30+K38+K54+K57)/(J16+J22+J26+J30+J38+J54+J57)-1))*J7/K7</f>
        <v>-103.07254724734723</v>
      </c>
      <c r="L104" s="192">
        <f>K104*(1+L106*L105)*(1+0.3*((L16+L22+L26+L30+L38+L54+L57)/(K16+K22+K26+K30+K38+K54+K57)-1))*K7/L7</f>
        <v>-103.01088312584329</v>
      </c>
      <c r="M104" s="192">
        <f t="shared" ref="M104:O104" si="135">L104*(1+M106*M105)*(1+0.3*((M16+M22+M26+M30+M38+M54+M57)/(L16+L22+L26+L30+L38+L54+L57)-1))*L7/M7</f>
        <v>-104.8619624582128</v>
      </c>
      <c r="N104" s="192">
        <f t="shared" si="135"/>
        <v>-107.11212533067651</v>
      </c>
      <c r="O104" s="192">
        <f t="shared" si="135"/>
        <v>-106.43152771135048</v>
      </c>
      <c r="P104" s="164"/>
      <c r="R104" s="172"/>
      <c r="S104" s="172"/>
      <c r="T104" s="172"/>
      <c r="U104" s="208"/>
      <c r="V104" s="151"/>
      <c r="W104" s="151"/>
      <c r="X104" s="151"/>
      <c r="Y104" s="151"/>
      <c r="Z104" s="151"/>
      <c r="AA104" s="151"/>
      <c r="AB104" s="151"/>
      <c r="AC104" s="151"/>
    </row>
    <row r="105" spans="1:29" ht="15.75" customHeight="1" outlineLevel="1">
      <c r="A105" s="202" t="s">
        <v>155</v>
      </c>
      <c r="B105" s="202"/>
      <c r="C105" s="178">
        <f>C104/C9</f>
        <v>-7.3582955005169232E-2</v>
      </c>
      <c r="D105" s="178">
        <f>D104/D9</f>
        <v>-5.4883455789206996E-2</v>
      </c>
      <c r="E105" s="178">
        <f t="shared" ref="E105:J105" si="136">E104/E9</f>
        <v>-7.0742244505772364E-2</v>
      </c>
      <c r="F105" s="178">
        <f t="shared" si="136"/>
        <v>-7.4356602314260153E-2</v>
      </c>
      <c r="G105" s="178">
        <f t="shared" si="136"/>
        <v>-6.6076275217549454E-2</v>
      </c>
      <c r="H105" s="178">
        <f t="shared" si="136"/>
        <v>-6.106066717165258E-2</v>
      </c>
      <c r="I105" s="178">
        <f t="shared" si="136"/>
        <v>-7.0239820485250806E-2</v>
      </c>
      <c r="J105" s="178">
        <f t="shared" si="136"/>
        <v>-6.4158948046467212E-2</v>
      </c>
      <c r="K105" s="179">
        <f>[7]Macro!O$7</f>
        <v>0.04</v>
      </c>
      <c r="L105" s="179">
        <f>[7]Macro!P$7</f>
        <v>4.4999999999999998E-2</v>
      </c>
      <c r="M105" s="179">
        <f>[7]Macro!Q$7</f>
        <v>4.4999999999999998E-2</v>
      </c>
      <c r="N105" s="179">
        <f>[7]Macro!R$7</f>
        <v>4.4999999999999998E-2</v>
      </c>
      <c r="O105" s="179">
        <f>[7]Macro!S$7</f>
        <v>4.4999999999999998E-2</v>
      </c>
      <c r="P105" s="164"/>
      <c r="R105" s="172"/>
      <c r="S105" s="172"/>
      <c r="T105" s="172"/>
      <c r="U105" s="151"/>
      <c r="V105" s="151"/>
      <c r="W105" s="151"/>
      <c r="X105" s="151"/>
      <c r="Y105" s="151"/>
      <c r="Z105" s="151"/>
      <c r="AA105" s="151"/>
      <c r="AB105" s="151"/>
      <c r="AC105" s="151"/>
    </row>
    <row r="106" spans="1:29" ht="15.75" customHeight="1" outlineLevel="1">
      <c r="A106" s="202" t="s">
        <v>156</v>
      </c>
      <c r="B106" s="202"/>
      <c r="C106" s="186"/>
      <c r="D106" s="178"/>
      <c r="E106" s="178"/>
      <c r="F106" s="178"/>
      <c r="G106" s="209"/>
      <c r="H106" s="209"/>
      <c r="I106" s="320"/>
      <c r="J106" s="209"/>
      <c r="K106" s="209">
        <v>0.4</v>
      </c>
      <c r="L106" s="209">
        <f t="shared" ref="L106:O106" si="137">K106</f>
        <v>0.4</v>
      </c>
      <c r="M106" s="209">
        <f t="shared" ref="M106" si="138">L106</f>
        <v>0.4</v>
      </c>
      <c r="N106" s="209">
        <f t="shared" si="137"/>
        <v>0.4</v>
      </c>
      <c r="O106" s="209">
        <f t="shared" si="137"/>
        <v>0.4</v>
      </c>
      <c r="P106" s="164"/>
      <c r="R106" s="172"/>
      <c r="S106" s="172"/>
      <c r="T106" s="172"/>
      <c r="U106" s="151"/>
      <c r="V106" s="151"/>
      <c r="W106" s="151"/>
      <c r="X106" s="151"/>
      <c r="Y106" s="151"/>
      <c r="Z106" s="151"/>
      <c r="AA106" s="151"/>
      <c r="AB106" s="151"/>
      <c r="AC106" s="151"/>
    </row>
    <row r="107" spans="1:29" ht="15.75" customHeight="1" outlineLevel="1">
      <c r="A107" s="180" t="s">
        <v>157</v>
      </c>
      <c r="B107" s="180"/>
      <c r="C107" s="181">
        <f>-2555/C7</f>
        <v>-84.156785243741766</v>
      </c>
      <c r="D107" s="181">
        <f>-2984/D7</f>
        <v>-101.49659863945578</v>
      </c>
      <c r="E107" s="181">
        <f>-3256/E7</f>
        <v>-104.81923832211957</v>
      </c>
      <c r="F107" s="181">
        <f>-3214/F7</f>
        <v>-100.8661812703992</v>
      </c>
      <c r="G107" s="181">
        <f>-3743/G7</f>
        <v>-96.893606005695048</v>
      </c>
      <c r="H107" s="181">
        <f>-3900/H7</f>
        <v>-63.671390321948671</v>
      </c>
      <c r="I107" s="181">
        <f>-3561/I7</f>
        <v>-53.162544367435146</v>
      </c>
      <c r="J107" s="181">
        <f>-3057/J7</f>
        <v>-52.599204215507037</v>
      </c>
      <c r="K107" s="192">
        <f>J107*(1+K109*K108)*(1+0.75*((K16+K22+K26+K30+K38+K54+K57)/(J16+J22+J26+J30+J38+J54+J57)-1))*J7/K7</f>
        <v>-54.542630592892579</v>
      </c>
      <c r="L107" s="192">
        <f>K107*(1+L109*L108)*(1+0.3*((L16+L22+L26+L30+L38+L54+L57)/(K16+K22+K26+K30+K38+K54+K57)-1))*K7/L7</f>
        <v>-54.509999950788099</v>
      </c>
      <c r="M107" s="192">
        <f t="shared" ref="M107:O107" si="139">L107*(1+M109*M108)*(1+0.3*((M16+M22+M26+M30+M38+M54+M57)/(L16+L22+L26+L30+L38+L54+L57)-1))*L7/M7</f>
        <v>-55.489530765926339</v>
      </c>
      <c r="N107" s="192">
        <f t="shared" si="139"/>
        <v>-56.680243575537133</v>
      </c>
      <c r="O107" s="192">
        <f t="shared" si="139"/>
        <v>-56.320093511095443</v>
      </c>
      <c r="P107" s="164"/>
      <c r="R107" s="172"/>
      <c r="S107" s="172"/>
      <c r="T107" s="172"/>
      <c r="U107" s="151"/>
      <c r="V107" s="151"/>
      <c r="W107" s="151"/>
      <c r="X107" s="151"/>
      <c r="Y107" s="151"/>
      <c r="Z107" s="151"/>
      <c r="AA107" s="151"/>
      <c r="AB107" s="151"/>
      <c r="AC107" s="151"/>
    </row>
    <row r="108" spans="1:29" ht="15.75" customHeight="1" outlineLevel="1">
      <c r="A108" s="202" t="s">
        <v>155</v>
      </c>
      <c r="B108" s="202"/>
      <c r="C108" s="186"/>
      <c r="D108" s="178">
        <f t="shared" ref="D108:J108" si="140">(D107/C107)/(1+0.75*((D16+D22+D26+D30+D38+D57)/(C16+C22+C26+C30+C38+C57)-1))-1</f>
        <v>0.15639710222075931</v>
      </c>
      <c r="E108" s="178">
        <f t="shared" si="140"/>
        <v>2.5364718059346369E-3</v>
      </c>
      <c r="F108" s="178">
        <f t="shared" si="140"/>
        <v>-0.13810496293512742</v>
      </c>
      <c r="G108" s="178">
        <f t="shared" si="140"/>
        <v>-4.7466220580342444E-2</v>
      </c>
      <c r="H108" s="178">
        <f t="shared" si="140"/>
        <v>-0.35017316944271915</v>
      </c>
      <c r="I108" s="178">
        <f t="shared" si="140"/>
        <v>-0.20810888689127816</v>
      </c>
      <c r="J108" s="178">
        <f t="shared" si="140"/>
        <v>-0.10116026245720655</v>
      </c>
      <c r="K108" s="179">
        <f>[7]Macro!O$7</f>
        <v>0.04</v>
      </c>
      <c r="L108" s="179">
        <f>[7]Macro!P$7</f>
        <v>4.4999999999999998E-2</v>
      </c>
      <c r="M108" s="179">
        <f>[7]Macro!Q$7</f>
        <v>4.4999999999999998E-2</v>
      </c>
      <c r="N108" s="179">
        <f>[7]Macro!R$7</f>
        <v>4.4999999999999998E-2</v>
      </c>
      <c r="O108" s="179">
        <f>[7]Macro!S$7</f>
        <v>4.4999999999999998E-2</v>
      </c>
      <c r="P108" s="164"/>
      <c r="R108" s="172"/>
      <c r="S108" s="172"/>
      <c r="T108" s="172"/>
      <c r="U108" s="151"/>
      <c r="V108" s="151"/>
      <c r="W108" s="151"/>
      <c r="X108" s="151"/>
      <c r="Y108" s="151"/>
      <c r="Z108" s="151"/>
      <c r="AA108" s="151"/>
      <c r="AB108" s="151"/>
      <c r="AC108" s="151"/>
    </row>
    <row r="109" spans="1:29" ht="15.75" customHeight="1" outlineLevel="1">
      <c r="A109" s="202" t="s">
        <v>156</v>
      </c>
      <c r="B109" s="202"/>
      <c r="C109" s="186"/>
      <c r="D109" s="178"/>
      <c r="E109" s="178"/>
      <c r="F109" s="178"/>
      <c r="G109" s="209"/>
      <c r="H109" s="209"/>
      <c r="I109" s="209"/>
      <c r="J109" s="209"/>
      <c r="K109" s="209">
        <f t="shared" ref="J109:K109" si="141">K106</f>
        <v>0.4</v>
      </c>
      <c r="L109" s="209">
        <f t="shared" ref="L109:M109" si="142">L106</f>
        <v>0.4</v>
      </c>
      <c r="M109" s="209">
        <f t="shared" si="142"/>
        <v>0.4</v>
      </c>
      <c r="N109" s="209">
        <f t="shared" ref="N109:O109" si="143">N106</f>
        <v>0.4</v>
      </c>
      <c r="O109" s="209">
        <f t="shared" si="143"/>
        <v>0.4</v>
      </c>
      <c r="P109" s="164"/>
      <c r="R109" s="172"/>
      <c r="S109" s="172"/>
      <c r="T109" s="172"/>
      <c r="U109" s="151"/>
      <c r="V109" s="151"/>
      <c r="W109" s="151"/>
      <c r="X109" s="151"/>
      <c r="Y109" s="151"/>
      <c r="Z109" s="151"/>
      <c r="AA109" s="151"/>
      <c r="AB109" s="151"/>
      <c r="AC109" s="151"/>
    </row>
    <row r="110" spans="1:29" ht="15.75" customHeight="1" outlineLevel="1">
      <c r="A110" s="180" t="s">
        <v>2</v>
      </c>
      <c r="B110" s="180"/>
      <c r="C110" s="181">
        <f t="shared" ref="C110:K110" si="144">-C141</f>
        <v>-49.110671936758891</v>
      </c>
      <c r="D110" s="181">
        <f t="shared" si="144"/>
        <v>-65.204081632653057</v>
      </c>
      <c r="E110" s="181">
        <f t="shared" si="144"/>
        <v>-63.419502301773818</v>
      </c>
      <c r="F110" s="181">
        <f t="shared" si="144"/>
        <v>-80.529751443635448</v>
      </c>
      <c r="G110" s="181">
        <f t="shared" si="144"/>
        <v>-100.20709293295366</v>
      </c>
      <c r="H110" s="181">
        <f t="shared" si="144"/>
        <v>-75.001632599751844</v>
      </c>
      <c r="I110" s="181">
        <f t="shared" si="144"/>
        <v>-90.992897478100872</v>
      </c>
      <c r="J110" s="181">
        <f t="shared" si="144"/>
        <v>-136.90934509086998</v>
      </c>
      <c r="K110" s="192">
        <f t="shared" si="144"/>
        <v>-137.21875</v>
      </c>
      <c r="L110" s="192">
        <f t="shared" ref="L110:M110" si="145">-L141</f>
        <v>-149.75260851436485</v>
      </c>
      <c r="M110" s="192">
        <f t="shared" si="145"/>
        <v>-159.84377596421007</v>
      </c>
      <c r="N110" s="192">
        <f t="shared" ref="N110:O110" si="146">-N141</f>
        <v>-163.72169454661631</v>
      </c>
      <c r="O110" s="192">
        <f t="shared" si="146"/>
        <v>-151.95898611147376</v>
      </c>
      <c r="P110" s="164"/>
      <c r="Q110" s="403">
        <f>-6151/Q$7</f>
        <v>-106.03344250991209</v>
      </c>
      <c r="R110" s="208">
        <f>Q110/J110</f>
        <v>0.77447921790536056</v>
      </c>
      <c r="S110" s="172"/>
      <c r="T110" s="172"/>
      <c r="U110" s="151"/>
      <c r="V110" s="151"/>
      <c r="W110" s="151"/>
      <c r="X110" s="151"/>
      <c r="Y110" s="151"/>
      <c r="Z110" s="151"/>
      <c r="AA110" s="151"/>
      <c r="AB110" s="151"/>
      <c r="AC110" s="151"/>
    </row>
    <row r="111" spans="1:29" ht="15.75" customHeight="1" outlineLevel="1">
      <c r="A111" s="180" t="s">
        <v>158</v>
      </c>
      <c r="B111" s="180"/>
      <c r="C111" s="181">
        <f>(-161-110+30)/C7</f>
        <v>-7.9380764163372861</v>
      </c>
      <c r="D111" s="181">
        <f>(-487+164-14)/D7</f>
        <v>-11.462585034013607</v>
      </c>
      <c r="E111" s="181">
        <f>(102-8)/E7</f>
        <v>3.0261082316582431</v>
      </c>
      <c r="F111" s="181">
        <f>-217/F7</f>
        <v>-6.8101933216168717</v>
      </c>
      <c r="G111" s="181">
        <f>(-97-426)/G7</f>
        <v>-13.538700491845715</v>
      </c>
      <c r="H111" s="181">
        <f>(-205-232)/H7</f>
        <v>-7.1344609155619407</v>
      </c>
      <c r="I111" s="181">
        <f>(-25-81)/I7</f>
        <v>-1.582485173532189</v>
      </c>
      <c r="J111" s="181">
        <f>(-26-15)/J7</f>
        <v>-0.70545219916120006</v>
      </c>
      <c r="K111" s="182">
        <v>0</v>
      </c>
      <c r="L111" s="182">
        <v>0</v>
      </c>
      <c r="M111" s="182">
        <v>0</v>
      </c>
      <c r="N111" s="182">
        <v>0</v>
      </c>
      <c r="O111" s="182">
        <v>0</v>
      </c>
      <c r="P111" s="164"/>
      <c r="R111" s="172"/>
      <c r="S111" s="172"/>
      <c r="T111" s="172"/>
      <c r="U111" s="151"/>
      <c r="V111" s="151"/>
      <c r="W111" s="151"/>
      <c r="X111" s="151"/>
      <c r="Y111" s="151"/>
      <c r="Z111" s="151"/>
      <c r="AA111" s="151"/>
      <c r="AB111" s="151"/>
      <c r="AC111" s="151"/>
    </row>
    <row r="112" spans="1:29" ht="15.75">
      <c r="A112" s="210" t="s">
        <v>10</v>
      </c>
      <c r="B112" s="210"/>
      <c r="C112" s="174">
        <f t="shared" ref="C112:N112" si="147">C9+C61</f>
        <v>289.52569169960475</v>
      </c>
      <c r="D112" s="174">
        <f t="shared" si="147"/>
        <v>623.36734693877543</v>
      </c>
      <c r="E112" s="174">
        <f t="shared" si="147"/>
        <v>593.7932588610247</v>
      </c>
      <c r="F112" s="174">
        <f t="shared" si="147"/>
        <v>409.42756716043186</v>
      </c>
      <c r="G112" s="174">
        <f t="shared" si="147"/>
        <v>431.47812580895652</v>
      </c>
      <c r="H112" s="174">
        <f t="shared" si="147"/>
        <v>589.30320642591255</v>
      </c>
      <c r="I112" s="174">
        <f t="shared" si="147"/>
        <v>362.76233237413828</v>
      </c>
      <c r="J112" s="174">
        <f t="shared" si="147"/>
        <v>370.67211528121288</v>
      </c>
      <c r="K112" s="175">
        <f t="shared" si="147"/>
        <v>502.49520063582509</v>
      </c>
      <c r="L112" s="175">
        <f t="shared" si="147"/>
        <v>525.16390733295657</v>
      </c>
      <c r="M112" s="175">
        <f t="shared" si="147"/>
        <v>594.3150418443945</v>
      </c>
      <c r="N112" s="175">
        <f t="shared" si="147"/>
        <v>727.50351039697557</v>
      </c>
      <c r="O112" s="175">
        <f t="shared" ref="O112" si="148">O9+O61</f>
        <v>764.20470164443736</v>
      </c>
      <c r="P112" s="164"/>
      <c r="R112" s="172"/>
      <c r="S112" s="172"/>
      <c r="T112" s="172"/>
      <c r="U112" s="211"/>
      <c r="V112" s="151"/>
      <c r="W112" s="151"/>
      <c r="X112" s="151"/>
      <c r="Y112" s="151"/>
      <c r="Z112" s="151"/>
      <c r="AA112" s="151"/>
      <c r="AB112" s="151"/>
      <c r="AC112" s="151"/>
    </row>
    <row r="113" spans="1:30" ht="15.75">
      <c r="A113" s="210"/>
      <c r="B113" s="210"/>
      <c r="C113" s="212">
        <f t="shared" ref="C113:N113" si="149">C112/C9</f>
        <v>0.19755472647997482</v>
      </c>
      <c r="D113" s="212">
        <f t="shared" si="149"/>
        <v>0.29020458576133767</v>
      </c>
      <c r="E113" s="212">
        <f t="shared" si="149"/>
        <v>0.26651158086376059</v>
      </c>
      <c r="F113" s="212">
        <f t="shared" si="149"/>
        <v>0.1978495275936851</v>
      </c>
      <c r="G113" s="212">
        <f t="shared" si="149"/>
        <v>0.23319063208259874</v>
      </c>
      <c r="H113" s="212">
        <f t="shared" si="149"/>
        <v>0.35509035640856634</v>
      </c>
      <c r="I113" s="212">
        <f t="shared" si="149"/>
        <v>0.28398625590201482</v>
      </c>
      <c r="J113" s="212">
        <f t="shared" si="149"/>
        <v>0.2392550143266475</v>
      </c>
      <c r="K113" s="179">
        <f t="shared" si="149"/>
        <v>0.29612206150670395</v>
      </c>
      <c r="L113" s="179">
        <f t="shared" si="149"/>
        <v>0.3013661650346105</v>
      </c>
      <c r="M113" s="179">
        <f t="shared" si="149"/>
        <v>0.31348631498922186</v>
      </c>
      <c r="N113" s="179">
        <f t="shared" si="149"/>
        <v>0.34158758866646921</v>
      </c>
      <c r="O113" s="179">
        <f t="shared" ref="O113" si="150">O112/O9</f>
        <v>0.35367459758574277</v>
      </c>
      <c r="P113" s="164"/>
      <c r="R113" s="172"/>
      <c r="S113" s="172"/>
      <c r="T113" s="172"/>
      <c r="U113" s="211"/>
      <c r="V113" s="151"/>
      <c r="W113" s="151"/>
      <c r="X113" s="151"/>
      <c r="Y113" s="151"/>
      <c r="Z113" s="151"/>
      <c r="AA113" s="151"/>
      <c r="AB113" s="151"/>
      <c r="AC113" s="151"/>
    </row>
    <row r="114" spans="1:30" ht="15.75">
      <c r="A114" s="210" t="s">
        <v>208</v>
      </c>
      <c r="B114" s="210"/>
      <c r="C114" s="174">
        <f>C112-C110-C111</f>
        <v>346.57444005270094</v>
      </c>
      <c r="D114" s="174">
        <f>D112-D110-D111</f>
        <v>700.03401360544206</v>
      </c>
      <c r="E114" s="174">
        <f t="shared" ref="E114:K114" si="151">E112-E110-E111</f>
        <v>654.18665293114032</v>
      </c>
      <c r="F114" s="174">
        <f t="shared" si="151"/>
        <v>496.76751192568418</v>
      </c>
      <c r="G114" s="174">
        <f>G112-G110-G111</f>
        <v>545.22391923375585</v>
      </c>
      <c r="H114" s="174">
        <f t="shared" si="151"/>
        <v>671.4392999412263</v>
      </c>
      <c r="I114" s="174">
        <f t="shared" ref="I114:J114" si="152">I112-I110-I111</f>
        <v>455.33771502577133</v>
      </c>
      <c r="J114" s="174">
        <f t="shared" si="152"/>
        <v>508.28691257124405</v>
      </c>
      <c r="K114" s="175">
        <f t="shared" si="151"/>
        <v>639.71395063582509</v>
      </c>
      <c r="L114" s="175">
        <f t="shared" ref="L114:M114" si="153">L112-L110-L111</f>
        <v>674.91651584732142</v>
      </c>
      <c r="M114" s="175">
        <f t="shared" si="153"/>
        <v>754.15881780860457</v>
      </c>
      <c r="N114" s="175">
        <f t="shared" ref="N114:O114" si="154">N112-N110-N111</f>
        <v>891.22520494359185</v>
      </c>
      <c r="O114" s="175">
        <f t="shared" si="154"/>
        <v>916.16368775591116</v>
      </c>
      <c r="P114" s="164"/>
      <c r="Q114" s="404"/>
      <c r="R114" s="404"/>
      <c r="S114" s="172"/>
      <c r="T114" s="172"/>
      <c r="U114" s="211"/>
      <c r="V114" s="151"/>
      <c r="W114" s="151"/>
      <c r="X114" s="151"/>
      <c r="Y114" s="151"/>
      <c r="Z114" s="151"/>
      <c r="AA114" s="151"/>
      <c r="AB114" s="151"/>
      <c r="AC114" s="151"/>
    </row>
    <row r="115" spans="1:30" ht="15.75">
      <c r="A115" s="210" t="s">
        <v>207</v>
      </c>
      <c r="B115" s="318"/>
      <c r="C115" s="275">
        <f>C114-C111</f>
        <v>354.51251646903825</v>
      </c>
      <c r="D115" s="275">
        <f t="shared" ref="D115:J115" si="155">D114-D111</f>
        <v>711.49659863945567</v>
      </c>
      <c r="E115" s="275">
        <f t="shared" si="155"/>
        <v>651.1605446994821</v>
      </c>
      <c r="F115" s="275">
        <f t="shared" si="155"/>
        <v>503.57770524730103</v>
      </c>
      <c r="G115" s="275">
        <f t="shared" si="155"/>
        <v>558.76261972560155</v>
      </c>
      <c r="H115" s="275">
        <f t="shared" si="155"/>
        <v>678.57376085678823</v>
      </c>
      <c r="I115" s="275">
        <f t="shared" ref="I115:J115" si="156">I114-I111</f>
        <v>456.92020019930351</v>
      </c>
      <c r="J115" s="275">
        <f t="shared" si="156"/>
        <v>508.99236477040523</v>
      </c>
      <c r="K115" s="276">
        <f>K114-K111</f>
        <v>639.71395063582509</v>
      </c>
      <c r="L115" s="276">
        <f t="shared" ref="L115:M115" si="157">L114-L111</f>
        <v>674.91651584732142</v>
      </c>
      <c r="M115" s="276">
        <f t="shared" si="157"/>
        <v>754.15881780860457</v>
      </c>
      <c r="N115" s="276">
        <f t="shared" ref="N115:O115" si="158">N114-N111</f>
        <v>891.22520494359185</v>
      </c>
      <c r="O115" s="276">
        <f t="shared" si="158"/>
        <v>916.16368775591116</v>
      </c>
      <c r="P115" s="164"/>
      <c r="Q115">
        <v>371</v>
      </c>
      <c r="R115" s="208">
        <f>Q115/J115</f>
        <v>0.72889109086606751</v>
      </c>
      <c r="S115" s="172"/>
      <c r="T115" s="172"/>
      <c r="U115" s="211"/>
      <c r="V115" s="151"/>
      <c r="W115" s="151"/>
      <c r="X115" s="151"/>
      <c r="Y115" s="151"/>
      <c r="Z115" s="151"/>
      <c r="AA115" s="151"/>
      <c r="AB115" s="151"/>
      <c r="AC115" s="151"/>
    </row>
    <row r="116" spans="1:30" ht="15.75">
      <c r="A116" s="176" t="s">
        <v>159</v>
      </c>
      <c r="B116" s="176"/>
      <c r="C116" s="212">
        <f t="shared" ref="C116:N116" si="159">C115/C9</f>
        <v>0.2418977839708725</v>
      </c>
      <c r="D116" s="212">
        <f t="shared" si="159"/>
        <v>0.33123258170762598</v>
      </c>
      <c r="E116" s="212">
        <f t="shared" si="159"/>
        <v>0.2922596772096116</v>
      </c>
      <c r="F116" s="212">
        <f t="shared" si="159"/>
        <v>0.24334612293180061</v>
      </c>
      <c r="G116" s="212">
        <f t="shared" si="159"/>
        <v>0.30198102912784341</v>
      </c>
      <c r="H116" s="212">
        <f t="shared" si="159"/>
        <v>0.40888119386540478</v>
      </c>
      <c r="I116" s="212">
        <f t="shared" si="159"/>
        <v>0.35769716235800098</v>
      </c>
      <c r="J116" s="212">
        <f t="shared" ref="J116" si="160">J115/J9</f>
        <v>0.32853557228848751</v>
      </c>
      <c r="K116" s="179">
        <f t="shared" si="159"/>
        <v>0.37698551866203206</v>
      </c>
      <c r="L116" s="179">
        <f t="shared" si="159"/>
        <v>0.38730194375386401</v>
      </c>
      <c r="M116" s="179">
        <f t="shared" si="159"/>
        <v>0.39779990756711697</v>
      </c>
      <c r="N116" s="179">
        <f t="shared" si="159"/>
        <v>0.41846048076021347</v>
      </c>
      <c r="O116" s="179">
        <f t="shared" ref="O116" si="161">O115/O9</f>
        <v>0.42400134792745753</v>
      </c>
      <c r="P116" s="164"/>
      <c r="R116" s="172"/>
      <c r="S116" s="172"/>
      <c r="T116" s="172"/>
      <c r="U116" s="211"/>
      <c r="V116" s="151"/>
      <c r="W116" s="151"/>
      <c r="X116" s="151"/>
      <c r="Y116" s="151"/>
      <c r="Z116" s="151"/>
      <c r="AA116" s="151"/>
      <c r="AB116" s="151"/>
      <c r="AC116" s="151"/>
    </row>
    <row r="117" spans="1:30" ht="15.75">
      <c r="A117" s="210" t="s">
        <v>160</v>
      </c>
      <c r="B117" s="210"/>
      <c r="C117" s="174">
        <f t="shared" ref="C117:E117" si="162">C118+C121+C130+C131+C132</f>
        <v>-19.960474308300398</v>
      </c>
      <c r="D117" s="174">
        <f t="shared" si="162"/>
        <v>244.79591836734693</v>
      </c>
      <c r="E117" s="174">
        <f t="shared" si="162"/>
        <v>-56.94878150854715</v>
      </c>
      <c r="F117" s="174">
        <f>F118+F121+F130+F131+F132</f>
        <v>19.143861410996749</v>
      </c>
      <c r="G117" s="174">
        <f>G118+G121+G130+G131+G132</f>
        <v>-261.89490033652601</v>
      </c>
      <c r="H117" s="174">
        <f>H118+H121+H130+H131+H132</f>
        <v>-267.43616534970283</v>
      </c>
      <c r="I117" s="174">
        <f>I118+I121+I130+I131+I132</f>
        <v>113.64035038610399</v>
      </c>
      <c r="J117" s="174">
        <f>J118+J121+J130+J131+J132</f>
        <v>-65.090869986019982</v>
      </c>
      <c r="K117" s="175">
        <f t="shared" ref="K117:M117" si="163">K118+K121+K130+K132</f>
        <v>-138.52301231147729</v>
      </c>
      <c r="L117" s="175">
        <f t="shared" si="163"/>
        <v>-84.915486087751873</v>
      </c>
      <c r="M117" s="175">
        <f t="shared" si="163"/>
        <v>-83.60667303455314</v>
      </c>
      <c r="N117" s="175">
        <f t="shared" ref="N117:O117" si="164">N118+N121+N130+N132</f>
        <v>-79.516509981079551</v>
      </c>
      <c r="O117" s="175">
        <f t="shared" si="164"/>
        <v>-74.682934859326394</v>
      </c>
      <c r="P117" s="164"/>
      <c r="R117" s="172"/>
      <c r="S117" s="172"/>
      <c r="T117" s="172"/>
      <c r="U117" s="211"/>
      <c r="V117" s="151"/>
      <c r="W117" s="151"/>
      <c r="X117" s="151"/>
      <c r="Y117" s="151"/>
      <c r="Z117" s="151"/>
      <c r="AA117" s="151"/>
      <c r="AB117" s="151"/>
      <c r="AC117" s="151"/>
    </row>
    <row r="118" spans="1:30" ht="15.75" customHeight="1" outlineLevel="1">
      <c r="A118" s="214" t="s">
        <v>97</v>
      </c>
      <c r="B118" s="214"/>
      <c r="C118" s="215">
        <f>361/C7</f>
        <v>11.89064558629776</v>
      </c>
      <c r="D118" s="215">
        <f>895/D7</f>
        <v>30.442176870748302</v>
      </c>
      <c r="E118" s="215">
        <f>255/E7</f>
        <v>8.2091233943920425</v>
      </c>
      <c r="F118" s="216">
        <f>219/F7</f>
        <v>6.8729600803414508</v>
      </c>
      <c r="G118" s="216">
        <f>541/G7</f>
        <v>14.004659590991457</v>
      </c>
      <c r="H118" s="216">
        <f>775/H7</f>
        <v>12.652648076797492</v>
      </c>
      <c r="I118" s="216">
        <f>521/I7</f>
        <v>7.7780639189648157</v>
      </c>
      <c r="J118" s="216">
        <f>226/J7</f>
        <v>3.8885901709861272</v>
      </c>
      <c r="K118" s="217">
        <f>J119*K120</f>
        <v>2.7624196026848651</v>
      </c>
      <c r="L118" s="217">
        <f t="shared" ref="L118:O118" si="165">K119*L120</f>
        <v>2.2838057012211639</v>
      </c>
      <c r="M118" s="217">
        <f t="shared" si="165"/>
        <v>2.025880537058959</v>
      </c>
      <c r="N118" s="217">
        <f t="shared" si="165"/>
        <v>3.0454635770435581</v>
      </c>
      <c r="O118" s="217">
        <f t="shared" si="165"/>
        <v>5.9898104692962599</v>
      </c>
      <c r="P118" s="164"/>
      <c r="Q118" s="403">
        <f>188/Q$7</f>
        <v>3.2408205481813481</v>
      </c>
      <c r="R118" s="208">
        <f>Q118/J118</f>
        <v>0.83341787271953427</v>
      </c>
      <c r="S118" s="172"/>
      <c r="T118" s="172"/>
      <c r="U118" s="151"/>
      <c r="V118" s="151"/>
      <c r="W118" s="151"/>
      <c r="X118" s="151"/>
      <c r="Y118" s="151"/>
      <c r="Z118" s="151"/>
      <c r="AA118" s="151"/>
      <c r="AB118" s="151"/>
      <c r="AC118" s="151"/>
    </row>
    <row r="119" spans="1:30" ht="15.75" customHeight="1" outlineLevel="1">
      <c r="A119" s="218" t="s">
        <v>161</v>
      </c>
      <c r="B119" s="218"/>
      <c r="C119" s="215">
        <f>7597/C8</f>
        <v>248.79646307515966</v>
      </c>
      <c r="D119" s="215">
        <f>14630/D8</f>
        <v>455.19601742377097</v>
      </c>
      <c r="E119" s="215">
        <f>(27453+1435)/E8</f>
        <v>951.26448893572183</v>
      </c>
      <c r="F119" s="216">
        <f>(12787+767)/F8</f>
        <v>412.35168846972925</v>
      </c>
      <c r="G119" s="216">
        <f>cover!K70</f>
        <v>440.34626186497917</v>
      </c>
      <c r="H119" s="216">
        <f>cover!L70</f>
        <v>417.39672103256328</v>
      </c>
      <c r="I119" s="216">
        <f>cover!M70</f>
        <v>450.7490916330695</v>
      </c>
      <c r="J119" s="216">
        <f>cover!N70</f>
        <v>248.29861111111111</v>
      </c>
      <c r="K119" s="217">
        <f>(J119*J8+(K138+K141+J167+K144+K160+K131)*K7)/K8</f>
        <v>205.27865611354144</v>
      </c>
      <c r="L119" s="217">
        <f>(K119*K8+(L138+L141+K167+L144+L160+L131)*L7)/L8</f>
        <v>182.09519044097078</v>
      </c>
      <c r="M119" s="217">
        <f>(L119*L8+(M138+M141+L167+M144+M160+M131)*M7)/M8</f>
        <v>273.73986762707489</v>
      </c>
      <c r="N119" s="217">
        <f>(M119*M8+(N138+N141+M167+N144+N160+N131)*N7)/N8</f>
        <v>538.39091602866813</v>
      </c>
      <c r="O119" s="217">
        <f>(N119*N8+(O138+O141+N167+O144+O160+O131)*O7)/O8</f>
        <v>768.01603312766474</v>
      </c>
      <c r="P119" s="164"/>
      <c r="R119" s="172"/>
      <c r="S119" s="172"/>
      <c r="T119" s="172"/>
      <c r="U119" s="151"/>
      <c r="V119" s="151"/>
      <c r="W119" s="151"/>
      <c r="X119" s="151"/>
      <c r="Y119" s="151"/>
      <c r="Z119" s="151"/>
      <c r="AA119" s="151"/>
      <c r="AB119" s="151"/>
      <c r="AC119" s="151"/>
    </row>
    <row r="120" spans="1:30" ht="15.75" customHeight="1" outlineLevel="1">
      <c r="A120" s="219" t="s">
        <v>162</v>
      </c>
      <c r="B120" s="219"/>
      <c r="C120" s="178"/>
      <c r="D120" s="178">
        <f t="shared" ref="D120:J120" si="166">D118/AVERAGE(C119:D119)</f>
        <v>8.6484380768310054E-2</v>
      </c>
      <c r="E120" s="178">
        <f t="shared" si="166"/>
        <v>1.1673450277876175E-2</v>
      </c>
      <c r="F120" s="220">
        <f t="shared" si="166"/>
        <v>1.0080490675049946E-2</v>
      </c>
      <c r="G120" s="220">
        <f t="shared" si="166"/>
        <v>3.2847879100669178E-2</v>
      </c>
      <c r="H120" s="220">
        <f t="shared" si="166"/>
        <v>2.9502189651393167E-2</v>
      </c>
      <c r="I120" s="220">
        <f t="shared" si="166"/>
        <v>1.7918796141128297E-2</v>
      </c>
      <c r="J120" s="220">
        <f t="shared" si="166"/>
        <v>1.1125392890130627E-2</v>
      </c>
      <c r="K120" s="179">
        <f>J120</f>
        <v>1.1125392890130627E-2</v>
      </c>
      <c r="L120" s="179">
        <f t="shared" ref="L120:O120" si="167">K120</f>
        <v>1.1125392890130627E-2</v>
      </c>
      <c r="M120" s="179">
        <f t="shared" si="167"/>
        <v>1.1125392890130627E-2</v>
      </c>
      <c r="N120" s="179">
        <f t="shared" si="167"/>
        <v>1.1125392890130627E-2</v>
      </c>
      <c r="O120" s="179">
        <f t="shared" si="167"/>
        <v>1.1125392890130627E-2</v>
      </c>
      <c r="P120" s="164"/>
      <c r="R120" s="172"/>
      <c r="S120" s="172"/>
      <c r="T120" s="172"/>
      <c r="U120" s="151"/>
      <c r="V120" s="151"/>
      <c r="W120" s="151"/>
      <c r="X120" s="151"/>
      <c r="Y120" s="151"/>
      <c r="Z120" s="151"/>
      <c r="AA120" s="151"/>
      <c r="AB120" s="151"/>
      <c r="AC120" s="151"/>
    </row>
    <row r="121" spans="1:30" ht="15.75" customHeight="1" outlineLevel="1">
      <c r="A121" s="214" t="s">
        <v>98</v>
      </c>
      <c r="B121" s="214"/>
      <c r="C121" s="215">
        <f>-695/C7</f>
        <v>-22.891963109354414</v>
      </c>
      <c r="D121" s="215">
        <f>-1240/D7</f>
        <v>-42.176870748299322</v>
      </c>
      <c r="E121" s="215">
        <f>-3435/E7</f>
        <v>-110.58172101857515</v>
      </c>
      <c r="F121" s="216">
        <f>-3178/F7</f>
        <v>-99.73637961335676</v>
      </c>
      <c r="G121" s="216">
        <f>-2704/G7</f>
        <v>-69.997411338338068</v>
      </c>
      <c r="H121" s="216">
        <f>-5214/H7</f>
        <v>-85.123751061189836</v>
      </c>
      <c r="I121" s="216">
        <f>-5772/I7</f>
        <v>-86.170796430450892</v>
      </c>
      <c r="J121" s="216">
        <f>-4110/J7</f>
        <v>-70.717281428110539</v>
      </c>
      <c r="K121" s="221">
        <f>AVERAGE(J122:K122)*K123</f>
        <v>-69.806264145793989</v>
      </c>
      <c r="L121" s="221">
        <f t="shared" ref="L121:O121" si="168">AVERAGE(K122:L122)*L123</f>
        <v>-69.015431976594797</v>
      </c>
      <c r="M121" s="221">
        <f t="shared" si="168"/>
        <v>-68.216585523714144</v>
      </c>
      <c r="N121" s="221">
        <f t="shared" si="168"/>
        <v>-67.473802035658835</v>
      </c>
      <c r="O121" s="221">
        <f t="shared" si="168"/>
        <v>-66.795874307109685</v>
      </c>
      <c r="P121" s="164"/>
      <c r="Q121" s="403">
        <f>-3234/Q$7</f>
        <v>-55.749008791587656</v>
      </c>
      <c r="R121" s="208">
        <f>Q121/J121</f>
        <v>0.78833642450269725</v>
      </c>
      <c r="S121" s="172"/>
      <c r="T121" s="172"/>
      <c r="U121" s="151"/>
      <c r="V121" s="151"/>
      <c r="W121" s="151"/>
      <c r="X121" s="151"/>
      <c r="Y121" s="151"/>
      <c r="Z121" s="151"/>
      <c r="AA121" s="151"/>
      <c r="AB121" s="151"/>
      <c r="AC121" s="151"/>
    </row>
    <row r="122" spans="1:30" ht="15.75" customHeight="1" outlineLevel="1">
      <c r="A122" s="218" t="s">
        <v>20</v>
      </c>
      <c r="B122" s="218"/>
      <c r="C122" s="215">
        <f>(22719+38+658+13134+20)/C8</f>
        <v>1197.6093008023579</v>
      </c>
      <c r="D122" s="215">
        <f>(32391+24+315+16052+18)/D8</f>
        <v>1518.3571873055382</v>
      </c>
      <c r="E122" s="215">
        <f>(38176+10+629+23383+16)/E8</f>
        <v>2048.6696522655429</v>
      </c>
      <c r="F122" s="216">
        <f>(22720+187+27467+11)/F8</f>
        <v>1532.8567082446</v>
      </c>
      <c r="G122" s="216">
        <f>(28002+750+52559)/G8</f>
        <v>1445.3233317928116</v>
      </c>
      <c r="H122" s="216">
        <f>cover!L81+cover!L84</f>
        <v>1149.0243912478545</v>
      </c>
      <c r="I122" s="216">
        <f>cover!M81+cover!M84</f>
        <v>1313.2082358601695</v>
      </c>
      <c r="J122" s="216">
        <f>cover!N81+cover!N84</f>
        <v>1293.8020833333333</v>
      </c>
      <c r="K122" s="217">
        <f>(J122*K124+J122*(1-K124)*J8/K8)</f>
        <v>1279.6233552199647</v>
      </c>
      <c r="L122" s="217">
        <f>(K122*L124+K122*(1-L124)*K8/L8)</f>
        <v>1264.647857036493</v>
      </c>
      <c r="M122" s="217">
        <f>(L122*M124+L122*(1-M124)*L8/M8)</f>
        <v>1250.1736803448339</v>
      </c>
      <c r="N122" s="217">
        <f>(M122*N124+M122*(1-N124)*M8/N8)</f>
        <v>1237.2649574229765</v>
      </c>
      <c r="O122" s="217">
        <f>(N122*O124+N122*(1-O124)*N8/O8)</f>
        <v>1225.1817045745024</v>
      </c>
      <c r="P122" s="164" t="s">
        <v>117</v>
      </c>
      <c r="R122" s="172"/>
      <c r="S122" s="172"/>
      <c r="T122" s="172"/>
      <c r="U122" s="151"/>
      <c r="V122" s="151"/>
      <c r="W122" s="151"/>
      <c r="X122" s="151"/>
      <c r="Y122" s="151"/>
      <c r="Z122" s="151"/>
      <c r="AA122" s="151"/>
      <c r="AB122" s="151"/>
      <c r="AC122" s="151"/>
    </row>
    <row r="123" spans="1:30" ht="15.75" customHeight="1" outlineLevel="1">
      <c r="A123" s="219" t="s">
        <v>162</v>
      </c>
      <c r="B123" s="219"/>
      <c r="C123" s="178"/>
      <c r="D123" s="220">
        <f t="shared" ref="D123:J123" si="169">D121/AVERAGE(C122:D122)</f>
        <v>-3.1058461827842537E-2</v>
      </c>
      <c r="E123" s="220">
        <f t="shared" si="169"/>
        <v>-6.2002180522909726E-2</v>
      </c>
      <c r="F123" s="220">
        <f t="shared" si="169"/>
        <v>-5.5694901879292935E-2</v>
      </c>
      <c r="G123" s="220">
        <f t="shared" si="169"/>
        <v>-4.700683665683205E-2</v>
      </c>
      <c r="H123" s="220">
        <f t="shared" si="169"/>
        <v>-6.5622468649978671E-2</v>
      </c>
      <c r="I123" s="220">
        <f t="shared" si="169"/>
        <v>-6.9994033448952733E-2</v>
      </c>
      <c r="J123" s="220">
        <f t="shared" si="169"/>
        <v>-5.4251631385937464E-2</v>
      </c>
      <c r="K123" s="179">
        <f>J123</f>
        <v>-5.4251631385937464E-2</v>
      </c>
      <c r="L123" s="179">
        <f t="shared" ref="L123:O124" si="170">K123</f>
        <v>-5.4251631385937464E-2</v>
      </c>
      <c r="M123" s="179">
        <f t="shared" ref="M123:M124" si="171">L123</f>
        <v>-5.4251631385937464E-2</v>
      </c>
      <c r="N123" s="179">
        <f t="shared" si="170"/>
        <v>-5.4251631385937464E-2</v>
      </c>
      <c r="O123" s="179">
        <f t="shared" si="170"/>
        <v>-5.4251631385937464E-2</v>
      </c>
      <c r="P123" s="164"/>
      <c r="R123" s="172"/>
      <c r="S123" s="172"/>
      <c r="T123" s="172"/>
      <c r="U123" s="151"/>
      <c r="V123" s="151"/>
      <c r="W123" s="151"/>
      <c r="X123" s="151"/>
      <c r="Y123" s="151"/>
      <c r="Z123" s="151"/>
      <c r="AA123" s="151"/>
      <c r="AB123" s="151"/>
      <c r="AC123" s="151"/>
    </row>
    <row r="124" spans="1:30" ht="15.75" customHeight="1" outlineLevel="1">
      <c r="A124" s="219" t="s">
        <v>163</v>
      </c>
      <c r="B124" s="219"/>
      <c r="C124" s="178"/>
      <c r="D124" s="220"/>
      <c r="E124" s="220">
        <v>0.73</v>
      </c>
      <c r="F124" s="220">
        <v>0.79</v>
      </c>
      <c r="G124" s="220">
        <v>0.85</v>
      </c>
      <c r="H124" s="220">
        <v>0.71350000000000002</v>
      </c>
      <c r="I124" s="220">
        <f>(4061+42966)/79117</f>
        <v>0.59439816979915816</v>
      </c>
      <c r="J124" s="220">
        <f>(3551+40550)/74523</f>
        <v>0.59177703527769954</v>
      </c>
      <c r="K124" s="179">
        <f t="shared" ref="J123:K124" si="172">J124</f>
        <v>0.59177703527769954</v>
      </c>
      <c r="L124" s="179">
        <f t="shared" si="170"/>
        <v>0.59177703527769954</v>
      </c>
      <c r="M124" s="179">
        <f t="shared" si="171"/>
        <v>0.59177703527769954</v>
      </c>
      <c r="N124" s="179">
        <f t="shared" si="170"/>
        <v>0.59177703527769954</v>
      </c>
      <c r="O124" s="179">
        <f t="shared" si="170"/>
        <v>0.59177703527769954</v>
      </c>
      <c r="P124" s="164"/>
      <c r="R124" s="172"/>
      <c r="S124" s="172"/>
      <c r="T124" s="172"/>
      <c r="U124" s="151"/>
      <c r="V124" s="151"/>
      <c r="W124" s="151"/>
      <c r="X124" s="151"/>
      <c r="Y124" s="151"/>
      <c r="Z124" s="151"/>
      <c r="AA124" s="151"/>
      <c r="AB124" s="151"/>
      <c r="AC124" s="151"/>
    </row>
    <row r="125" spans="1:30" ht="15.75" customHeight="1" outlineLevel="1">
      <c r="A125" s="214" t="s">
        <v>164</v>
      </c>
      <c r="B125" s="214"/>
      <c r="C125" s="215">
        <f>C126+C127+C128</f>
        <v>822.82626494187002</v>
      </c>
      <c r="D125" s="215">
        <f t="shared" ref="D125:K125" si="173">D126+D127+D128</f>
        <v>631.45612943372748</v>
      </c>
      <c r="E125" s="215">
        <f t="shared" si="173"/>
        <v>841.16893140851687</v>
      </c>
      <c r="F125" s="216">
        <f>F126+F127+F128</f>
        <v>581.21732498526387</v>
      </c>
      <c r="G125" s="216">
        <f>G126+G127+G128</f>
        <v>508.03441288350103</v>
      </c>
      <c r="H125" s="216">
        <f>H126+H127+H128</f>
        <v>499.30916390309363</v>
      </c>
      <c r="I125" s="216">
        <f>I126+I127+I128</f>
        <v>298.06049143065718</v>
      </c>
      <c r="J125" s="216">
        <f>J126+J127+J128</f>
        <v>394.0625</v>
      </c>
      <c r="K125" s="217">
        <f t="shared" si="173"/>
        <v>329.77025104428861</v>
      </c>
      <c r="L125" s="217">
        <f t="shared" ref="L125:M125" si="174">L126+L127+L128</f>
        <v>320.31630404707545</v>
      </c>
      <c r="M125" s="217">
        <f t="shared" si="174"/>
        <v>311.33569336403878</v>
      </c>
      <c r="N125" s="217">
        <f t="shared" ref="N125:O125" si="175">N126+N127+N128</f>
        <v>303.46080494944567</v>
      </c>
      <c r="O125" s="217">
        <f t="shared" si="175"/>
        <v>296.20097707984178</v>
      </c>
      <c r="P125" s="164"/>
      <c r="R125" s="172"/>
      <c r="S125" s="172"/>
      <c r="T125" s="172"/>
      <c r="U125" s="151"/>
      <c r="V125" s="151"/>
      <c r="W125" s="151"/>
      <c r="X125" s="151"/>
      <c r="Y125" s="151"/>
      <c r="Z125" s="151"/>
      <c r="AA125" s="151"/>
      <c r="AB125" s="151"/>
      <c r="AC125" s="151"/>
    </row>
    <row r="126" spans="1:30" ht="15.75" customHeight="1" outlineLevel="1">
      <c r="A126" s="222" t="s">
        <v>91</v>
      </c>
      <c r="B126" s="222"/>
      <c r="C126" s="215">
        <f>17435/C8</f>
        <v>570.98411658752252</v>
      </c>
      <c r="D126" s="215">
        <f>19616/D8</f>
        <v>610.32980709396395</v>
      </c>
      <c r="E126" s="215">
        <f>19857/E8</f>
        <v>653.87908324552166</v>
      </c>
      <c r="F126" s="216">
        <f>8949/F8</f>
        <v>272.25433526011562</v>
      </c>
      <c r="G126" s="216">
        <f>3475/G8</f>
        <v>61.768992854349598</v>
      </c>
      <c r="H126" s="216">
        <f>4808/H8</f>
        <v>65.969015966752053</v>
      </c>
      <c r="I126" s="216">
        <v>0</v>
      </c>
      <c r="J126" s="216">
        <v>0</v>
      </c>
      <c r="K126" s="217">
        <f>J126*J8/K8</f>
        <v>0</v>
      </c>
      <c r="L126" s="217">
        <f>K126*K8/L8</f>
        <v>0</v>
      </c>
      <c r="M126" s="217">
        <f>L126*L8/M8</f>
        <v>0</v>
      </c>
      <c r="N126" s="217">
        <f>M126*M8/N8</f>
        <v>0</v>
      </c>
      <c r="O126" s="217">
        <f>N126*N8/O8</f>
        <v>0</v>
      </c>
      <c r="P126" s="207"/>
      <c r="X126" s="342"/>
      <c r="Y126" s="223">
        <v>2012</v>
      </c>
      <c r="Z126" s="223">
        <v>2013</v>
      </c>
      <c r="AA126" s="223">
        <v>2014</v>
      </c>
      <c r="AB126" s="151"/>
      <c r="AC126" s="151"/>
      <c r="AD126" s="151"/>
    </row>
    <row r="127" spans="1:30" ht="15.75" customHeight="1" outlineLevel="1">
      <c r="A127" s="222" t="s">
        <v>165</v>
      </c>
      <c r="B127" s="222"/>
      <c r="C127" s="215">
        <v>0</v>
      </c>
      <c r="D127" s="215">
        <v>0</v>
      </c>
      <c r="E127" s="215">
        <f>(8833660*53.9*9.84516/1000000)/E8</f>
        <v>154.36044879523973</v>
      </c>
      <c r="F127" s="215">
        <f>(8833660+6382434)*62.5/1000000/3.2</f>
        <v>297.18933593749995</v>
      </c>
      <c r="G127" s="216">
        <f>24695/G8</f>
        <v>438.95979238508301</v>
      </c>
      <c r="H127" s="216">
        <f>31263/H8</f>
        <v>428.94953123306357</v>
      </c>
      <c r="I127" s="216">
        <f>17824/I8</f>
        <v>295.72113550014103</v>
      </c>
      <c r="J127" s="216">
        <f>22557/J8</f>
        <v>391.61458333333331</v>
      </c>
      <c r="K127" s="217">
        <f>19841700*16.5/1000000</f>
        <v>327.38805000000002</v>
      </c>
      <c r="L127" s="217">
        <f>K127*K8/L8</f>
        <v>318.00239661732024</v>
      </c>
      <c r="M127" s="217">
        <f>L127*L8/M8</f>
        <v>309.08666025232691</v>
      </c>
      <c r="N127" s="217">
        <f>M127*M8/N8</f>
        <v>301.26865861677317</v>
      </c>
      <c r="O127" s="217">
        <f>N127*N8/O8</f>
        <v>294.06127443933843</v>
      </c>
      <c r="P127" s="272" t="s">
        <v>166</v>
      </c>
      <c r="Q127" s="217">
        <f>24946/57.48</f>
        <v>433.99443284620742</v>
      </c>
      <c r="X127" s="343" t="s">
        <v>167</v>
      </c>
      <c r="Y127" s="224">
        <v>8833660</v>
      </c>
      <c r="Z127" s="224">
        <f>6382434</f>
        <v>6382434</v>
      </c>
      <c r="AA127" s="224">
        <v>4625606</v>
      </c>
      <c r="AB127" s="260">
        <f>Y127+Z127+AA127</f>
        <v>19841700</v>
      </c>
      <c r="AC127" s="151"/>
      <c r="AD127" s="151"/>
    </row>
    <row r="128" spans="1:30" ht="15.75" customHeight="1" outlineLevel="1">
      <c r="A128" s="222" t="s">
        <v>92</v>
      </c>
      <c r="B128" s="222"/>
      <c r="C128" s="215">
        <f>(6559+258+146+727)/C8</f>
        <v>251.84214835434747</v>
      </c>
      <c r="D128" s="215">
        <f>(196+138+345)/D8</f>
        <v>21.126322339763533</v>
      </c>
      <c r="E128" s="215">
        <f>(140+860)/E8</f>
        <v>32.929399367755536</v>
      </c>
      <c r="F128" s="216">
        <f>(140+247)/F8</f>
        <v>11.773653787648312</v>
      </c>
      <c r="G128" s="216">
        <f>(157+254)/G8</f>
        <v>7.3056276440683989</v>
      </c>
      <c r="H128" s="216">
        <f>(148+172)/H8</f>
        <v>4.390616703278007</v>
      </c>
      <c r="I128" s="216">
        <f>(141)/I8</f>
        <v>2.3393559305161515</v>
      </c>
      <c r="J128" s="216">
        <f>(141)/J8</f>
        <v>2.4479166666666665</v>
      </c>
      <c r="K128" s="217">
        <f>J128*J8/K8</f>
        <v>2.3822010442886188</v>
      </c>
      <c r="L128" s="217">
        <f>K128*K8/L8</f>
        <v>2.3139074297551905</v>
      </c>
      <c r="M128" s="217">
        <f>L128*L8/M8</f>
        <v>2.2490331117118498</v>
      </c>
      <c r="N128" s="217">
        <f>M128*M8/N8</f>
        <v>2.1921463326725226</v>
      </c>
      <c r="O128" s="217">
        <f>N128*N8/O8</f>
        <v>2.1397026405033235</v>
      </c>
      <c r="P128" s="164"/>
      <c r="X128" s="343" t="s">
        <v>168</v>
      </c>
      <c r="Y128" s="224">
        <v>3874000000</v>
      </c>
      <c r="Z128" s="224">
        <v>3840000000</v>
      </c>
      <c r="AA128" s="224">
        <f>115000000*34.2</f>
        <v>3933000000.0000005</v>
      </c>
      <c r="AB128" s="224">
        <f>AB127*AB130*AB129</f>
        <v>16460178277.5</v>
      </c>
      <c r="AC128" s="151"/>
      <c r="AD128" s="151"/>
    </row>
    <row r="129" spans="1:30" ht="15.75" customHeight="1" outlineLevel="1">
      <c r="A129" s="225" t="s">
        <v>169</v>
      </c>
      <c r="B129" s="225"/>
      <c r="C129" s="215">
        <f>C122-C119-C125</f>
        <v>125.98657278532824</v>
      </c>
      <c r="D129" s="215">
        <f t="shared" ref="D129:J129" si="176">D122-D119-D125</f>
        <v>431.70504044803988</v>
      </c>
      <c r="E129" s="215">
        <f t="shared" si="176"/>
        <v>256.23623192130424</v>
      </c>
      <c r="F129" s="216">
        <f t="shared" si="176"/>
        <v>539.28769478960692</v>
      </c>
      <c r="G129" s="216">
        <f t="shared" si="176"/>
        <v>496.94265704433138</v>
      </c>
      <c r="H129" s="216">
        <f t="shared" si="176"/>
        <v>232.3185063121976</v>
      </c>
      <c r="I129" s="216">
        <f t="shared" si="176"/>
        <v>564.39865279644278</v>
      </c>
      <c r="J129" s="216">
        <f t="shared" si="176"/>
        <v>651.44097222222217</v>
      </c>
      <c r="K129" s="217">
        <f>K122-K119-K125</f>
        <v>744.57444806213448</v>
      </c>
      <c r="L129" s="217">
        <f t="shared" ref="L129:M129" si="177">L122-L119-L125</f>
        <v>762.23636254844678</v>
      </c>
      <c r="M129" s="217">
        <f t="shared" si="177"/>
        <v>665.09811935372022</v>
      </c>
      <c r="N129" s="217">
        <f t="shared" ref="N129:O129" si="178">N122-N119-N125</f>
        <v>395.41323644486272</v>
      </c>
      <c r="O129" s="217">
        <f t="shared" si="178"/>
        <v>160.9646943669959</v>
      </c>
      <c r="P129" s="164"/>
      <c r="X129" s="343" t="s">
        <v>170</v>
      </c>
      <c r="Y129" s="226">
        <v>9.5463400000000007</v>
      </c>
      <c r="Z129" s="226">
        <v>10.08797</v>
      </c>
      <c r="AA129" s="226">
        <v>11.482239999999999</v>
      </c>
      <c r="AB129" s="151">
        <v>13.5</v>
      </c>
      <c r="AC129" s="151"/>
      <c r="AD129" s="151"/>
    </row>
    <row r="130" spans="1:30" ht="15.75" customHeight="1" outlineLevel="1">
      <c r="A130" s="225" t="s">
        <v>171</v>
      </c>
      <c r="B130" s="225"/>
      <c r="C130" s="215">
        <f>45/C7</f>
        <v>1.482213438735178</v>
      </c>
      <c r="D130" s="215">
        <f>133/D7</f>
        <v>4.5238095238095237</v>
      </c>
      <c r="E130" s="215">
        <f>683/E7</f>
        <v>21.987573640665744</v>
      </c>
      <c r="F130" s="216">
        <f>652/F7</f>
        <v>20.461963344212904</v>
      </c>
      <c r="G130" s="216">
        <f>95/G7</f>
        <v>2.4592285788247477</v>
      </c>
      <c r="H130" s="216">
        <f>0/H7</f>
        <v>0</v>
      </c>
      <c r="I130" s="216">
        <f>270/I7</f>
        <v>4.030858460883878</v>
      </c>
      <c r="J130" s="216">
        <f>224/J7</f>
        <v>3.8541778685880197</v>
      </c>
      <c r="K130" s="217">
        <f t="shared" ref="K130:O130" si="179">J130</f>
        <v>3.8541778685880197</v>
      </c>
      <c r="L130" s="217">
        <f t="shared" si="179"/>
        <v>3.8541778685880197</v>
      </c>
      <c r="M130" s="217">
        <f t="shared" si="179"/>
        <v>3.8541778685880197</v>
      </c>
      <c r="N130" s="217">
        <f t="shared" si="179"/>
        <v>3.8541778685880197</v>
      </c>
      <c r="O130" s="217">
        <f t="shared" si="179"/>
        <v>3.8541778685880197</v>
      </c>
      <c r="P130" s="164" t="s">
        <v>172</v>
      </c>
      <c r="X130" s="342" t="s">
        <v>173</v>
      </c>
      <c r="Y130" s="227">
        <f>Y128/Y127/Y129</f>
        <v>45.939053047245984</v>
      </c>
      <c r="Z130" s="227">
        <f>Z128/Z127/Z129</f>
        <v>59.640477214521454</v>
      </c>
      <c r="AA130" s="227">
        <f>AA128/AA127/AA129</f>
        <v>74.050618209083282</v>
      </c>
      <c r="AB130" s="151">
        <v>61.45</v>
      </c>
      <c r="AC130" s="151"/>
      <c r="AD130" s="151"/>
    </row>
    <row r="131" spans="1:30" ht="15.75" customHeight="1" outlineLevel="1">
      <c r="A131" s="225" t="s">
        <v>174</v>
      </c>
      <c r="B131" s="225"/>
      <c r="C131" s="215">
        <f>(163-8)/C7</f>
        <v>5.1054018445322793</v>
      </c>
      <c r="D131" s="215">
        <f>(4839+4188)/D7</f>
        <v>307.0408163265306</v>
      </c>
      <c r="E131" s="215">
        <f>309/E7</f>
        <v>9.9475259955574167</v>
      </c>
      <c r="F131" s="216">
        <f>5392/F7</f>
        <v>169.21918152146623</v>
      </c>
      <c r="G131" s="216">
        <f>8088/G7</f>
        <v>209.37095521615325</v>
      </c>
      <c r="H131" s="216">
        <f>-31/H7</f>
        <v>-0.50610592307189972</v>
      </c>
      <c r="I131" s="216">
        <f>5389/I7</f>
        <v>80.452949058160058</v>
      </c>
      <c r="J131" s="216">
        <f>-7/J7</f>
        <v>-0.12044305839337562</v>
      </c>
      <c r="K131" s="217">
        <v>0</v>
      </c>
      <c r="L131" s="217">
        <v>0</v>
      </c>
      <c r="M131" s="217">
        <v>0</v>
      </c>
      <c r="N131" s="217">
        <v>0</v>
      </c>
      <c r="O131" s="217">
        <v>0</v>
      </c>
      <c r="P131" s="164" t="s">
        <v>202</v>
      </c>
      <c r="X131" s="344" t="s">
        <v>175</v>
      </c>
      <c r="Y131" s="228"/>
      <c r="Z131" s="229">
        <f>(Y130*Y127+Z130*Z127)/(Y127+Z127)</f>
        <v>51.686154468520101</v>
      </c>
      <c r="AA131" s="229">
        <f>(Y130*Y127+Z130*Z127+AA130*AA127)/(Y127+Z127+AA127)</f>
        <v>56.899880997251593</v>
      </c>
      <c r="AB131" s="151"/>
      <c r="AC131" s="151"/>
      <c r="AD131" s="151"/>
    </row>
    <row r="132" spans="1:30" ht="15.75" customHeight="1" outlineLevel="1">
      <c r="A132" s="225" t="s">
        <v>176</v>
      </c>
      <c r="B132" s="225"/>
      <c r="C132" s="215">
        <f>(-83-80+1931-2036-204)/C7</f>
        <v>-15.546772068511199</v>
      </c>
      <c r="D132" s="215">
        <f>(-566+283-67+4760-6028)/D7</f>
        <v>-55.034013605442176</v>
      </c>
      <c r="E132" s="215">
        <f>(-178-150-450+8292-7070-25)/E7</f>
        <v>13.488716479412806</v>
      </c>
      <c r="F132" s="215">
        <f>(-101-378+3766-6696+735+199)/F7</f>
        <v>-77.673863921667078</v>
      </c>
      <c r="G132" s="215">
        <f>(2051+161-291+12822-35146+4133+154-21)/G7</f>
        <v>-417.73233238415736</v>
      </c>
      <c r="H132" s="215">
        <f>(-3700+2241-298+37725-48952+2267-1117-77)/H7</f>
        <v>-194.45895644223862</v>
      </c>
      <c r="I132" s="215">
        <f>(-1803+1544+3268-253+18915-11066-3401)/I7</f>
        <v>107.54927537854613</v>
      </c>
      <c r="J132" s="215">
        <f>(-366+342+856-572-376)/J7</f>
        <v>-1.9959135390902245</v>
      </c>
      <c r="K132" s="217">
        <f>(-(K122*K8-J122*J8)-(-(K127+K128)*K8+(J127+J128)*J8)+(K131*K7-J126*J8))/K7</f>
        <v>-75.333345636956196</v>
      </c>
      <c r="L132" s="217">
        <f>(-(L122*L8-K122*K8)-(-(L127+L128)*L8+(K127+K128)*K8)+(L131*L7-K126*K8))/L7</f>
        <v>-22.038037680966269</v>
      </c>
      <c r="M132" s="217">
        <f>(-(M122*M8-L122*L8)-(-(M127+M128)*M8+(L127+L128)*L8)+(M131*M7-L126*L8))/M7</f>
        <v>-21.270145916485962</v>
      </c>
      <c r="N132" s="217">
        <f>(-(N122*N8-M122*M8)-(-(N127+N128)*N8+(M127+M128)*M8)+(N131*N7-M126*M8))/N7</f>
        <v>-18.9423493910523</v>
      </c>
      <c r="O132" s="217">
        <f>(-(O122*O8-N122*N8)-(-(O127+O128)*O8+(N127+N128)*N8)+(O131*O7-N126*N8))/O7</f>
        <v>-17.731048890100986</v>
      </c>
      <c r="P132" s="164" t="s">
        <v>199</v>
      </c>
      <c r="X132" s="172"/>
      <c r="Y132" s="151"/>
      <c r="Z132" s="151"/>
      <c r="AA132" s="151"/>
      <c r="AB132" s="151"/>
      <c r="AC132" s="151"/>
      <c r="AD132" s="151"/>
    </row>
    <row r="133" spans="1:30" s="140" customFormat="1" ht="15.75">
      <c r="A133" s="173" t="s">
        <v>3</v>
      </c>
      <c r="B133" s="173"/>
      <c r="C133" s="174">
        <f>-1905/C7</f>
        <v>-62.747035573122531</v>
      </c>
      <c r="D133" s="174">
        <f>-5196/D7</f>
        <v>-176.73469387755102</v>
      </c>
      <c r="E133" s="174">
        <f>-4098/E7</f>
        <v>-131.92544184399446</v>
      </c>
      <c r="F133" s="174">
        <f>-2909/F7</f>
        <v>-91.294250564900821</v>
      </c>
      <c r="G133" s="174">
        <f>-1569/G7</f>
        <v>-40.616101475537143</v>
      </c>
      <c r="H133" s="174">
        <f>-3854/H7</f>
        <v>-62.920394436100047</v>
      </c>
      <c r="I133" s="174">
        <f>-5962/I7</f>
        <v>-89.007326458480293</v>
      </c>
      <c r="J133" s="174">
        <f>-3500/J7</f>
        <v>-60.221529196687811</v>
      </c>
      <c r="K133" s="175">
        <f>-(K112+K117)*K134</f>
        <v>-72.794437664869562</v>
      </c>
      <c r="L133" s="175">
        <f t="shared" ref="L133:M133" si="180">-(L112+L117)*L134</f>
        <v>-88.049684249040936</v>
      </c>
      <c r="M133" s="175">
        <f t="shared" si="180"/>
        <v>-102.14167376196828</v>
      </c>
      <c r="N133" s="175">
        <f t="shared" ref="N133:O133" si="181">-(N112+N117)*N134</f>
        <v>-129.5974000831792</v>
      </c>
      <c r="O133" s="175">
        <f t="shared" si="181"/>
        <v>-137.90435335702219</v>
      </c>
      <c r="P133" s="230"/>
      <c r="Q133" s="403">
        <f>-2105/Q$7</f>
        <v>-36.28684709532839</v>
      </c>
      <c r="R133" s="208">
        <f>Q133/J133</f>
        <v>0.60255605560617631</v>
      </c>
      <c r="X133" s="345"/>
      <c r="Y133" s="231"/>
      <c r="Z133" s="231"/>
      <c r="AA133" s="231"/>
      <c r="AB133" s="231">
        <f>AB127*AB130/4.17/1000000</f>
        <v>292.39147841726617</v>
      </c>
      <c r="AC133" s="231"/>
      <c r="AD133" s="231"/>
    </row>
    <row r="134" spans="1:30" ht="15.75">
      <c r="A134" s="176" t="s">
        <v>177</v>
      </c>
      <c r="B134" s="176"/>
      <c r="C134" s="212">
        <f t="shared" ref="C134:E134" si="182">-C133/(C112+C117)</f>
        <v>0.23277126099706744</v>
      </c>
      <c r="D134" s="212">
        <f t="shared" si="182"/>
        <v>0.20357310766337566</v>
      </c>
      <c r="E134" s="212">
        <f t="shared" si="182"/>
        <v>0.24574238426481157</v>
      </c>
      <c r="F134" s="212">
        <f>-F133/(F112+F117)</f>
        <v>0.21301991798476858</v>
      </c>
      <c r="G134" s="212">
        <f>-G133/(G112+G117)</f>
        <v>0.23950541901999725</v>
      </c>
      <c r="H134" s="212">
        <f>-H133/(H112+H117)</f>
        <v>0.19548567080902868</v>
      </c>
      <c r="I134" s="212">
        <f>-I133/(I112+I117)</f>
        <v>0.18683212685280939</v>
      </c>
      <c r="J134" s="212">
        <f>-J133/(J112+J117)</f>
        <v>0.19707207207207214</v>
      </c>
      <c r="K134" s="232">
        <v>0.2</v>
      </c>
      <c r="L134" s="232">
        <f t="shared" ref="L134:O134" si="183">K134</f>
        <v>0.2</v>
      </c>
      <c r="M134" s="232">
        <f t="shared" si="183"/>
        <v>0.2</v>
      </c>
      <c r="N134" s="232">
        <f t="shared" si="183"/>
        <v>0.2</v>
      </c>
      <c r="O134" s="232">
        <f t="shared" si="183"/>
        <v>0.2</v>
      </c>
      <c r="P134" s="164"/>
      <c r="X134" s="172"/>
      <c r="Y134" s="151"/>
      <c r="Z134" s="151"/>
      <c r="AA134" s="151"/>
      <c r="AB134" s="151"/>
      <c r="AC134" s="151"/>
      <c r="AD134" s="151"/>
    </row>
    <row r="135" spans="1:30" ht="15.75">
      <c r="A135" s="173" t="s">
        <v>209</v>
      </c>
      <c r="B135" s="173"/>
      <c r="C135" s="174"/>
      <c r="D135" s="174">
        <f>-4028/D7</f>
        <v>-137.00680272108843</v>
      </c>
      <c r="E135" s="174">
        <f>-2605/E7</f>
        <v>-83.861829185848123</v>
      </c>
      <c r="F135" s="174">
        <f>-2605/F7</f>
        <v>-81.753703238764743</v>
      </c>
      <c r="G135" s="174">
        <f>-2010/G7</f>
        <v>-52.032099404607813</v>
      </c>
      <c r="H135" s="174">
        <f>-2478/H7</f>
        <v>-40.455821850715076</v>
      </c>
      <c r="I135" s="174">
        <f>-3929/I7</f>
        <v>-58.656455158565763</v>
      </c>
      <c r="J135" s="174">
        <f>-2743/J7</f>
        <v>-47.196472739004193</v>
      </c>
      <c r="K135" s="175">
        <f t="shared" ref="J135:K135" si="184">-(K112+K117)*K136</f>
        <v>-58.23555013189565</v>
      </c>
      <c r="L135" s="175">
        <f t="shared" ref="L135:M135" si="185">-(L112+L117)*L136</f>
        <v>-70.439747399232743</v>
      </c>
      <c r="M135" s="175">
        <f t="shared" si="185"/>
        <v>-81.713339009574625</v>
      </c>
      <c r="N135" s="175">
        <f t="shared" ref="N135:O135" si="186">-(N112+N117)*N136</f>
        <v>-103.67792006654336</v>
      </c>
      <c r="O135" s="175">
        <f t="shared" si="186"/>
        <v>-110.32348268561775</v>
      </c>
      <c r="P135" s="164"/>
      <c r="Q135" s="403">
        <f>-1958/Q$7</f>
        <v>-33.752801241165315</v>
      </c>
      <c r="R135" s="208">
        <f>Q135/J135</f>
        <v>0.71515516483229191</v>
      </c>
      <c r="X135" s="172"/>
      <c r="Y135" s="151"/>
      <c r="Z135" s="151"/>
      <c r="AA135" s="151"/>
      <c r="AB135" s="151">
        <v>19841700</v>
      </c>
      <c r="AC135" s="151"/>
      <c r="AD135" s="151"/>
    </row>
    <row r="136" spans="1:30" ht="15.75">
      <c r="A136" s="176" t="s">
        <v>210</v>
      </c>
      <c r="B136" s="176"/>
      <c r="C136" s="220"/>
      <c r="D136" s="220">
        <f t="shared" ref="D136:J136" si="187">-D135/(D112+D117)</f>
        <v>0.15781225513242439</v>
      </c>
      <c r="E136" s="220">
        <f t="shared" si="187"/>
        <v>0.15621252098824651</v>
      </c>
      <c r="F136" s="220">
        <f t="shared" si="187"/>
        <v>0.19075864089045105</v>
      </c>
      <c r="G136" s="220">
        <f t="shared" si="187"/>
        <v>0.30682338574263512</v>
      </c>
      <c r="H136" s="220">
        <f t="shared" si="187"/>
        <v>0.12569109814861781</v>
      </c>
      <c r="I136" s="220">
        <f t="shared" si="187"/>
        <v>0.12312368775657298</v>
      </c>
      <c r="J136" s="220">
        <f t="shared" si="187"/>
        <v>0.15444819819819827</v>
      </c>
      <c r="K136" s="232">
        <v>0.16</v>
      </c>
      <c r="L136" s="232">
        <f t="shared" ref="L136:O136" si="188">K136</f>
        <v>0.16</v>
      </c>
      <c r="M136" s="232">
        <f t="shared" si="188"/>
        <v>0.16</v>
      </c>
      <c r="N136" s="232">
        <f t="shared" si="188"/>
        <v>0.16</v>
      </c>
      <c r="O136" s="232">
        <f t="shared" si="188"/>
        <v>0.16</v>
      </c>
      <c r="P136" s="164"/>
      <c r="X136" s="172"/>
      <c r="Y136" s="151"/>
      <c r="Z136" s="151"/>
      <c r="AA136" s="151"/>
      <c r="AB136" s="151"/>
      <c r="AC136" s="151"/>
      <c r="AD136" s="151"/>
    </row>
    <row r="137" spans="1:30" ht="15.75">
      <c r="A137" s="173" t="s">
        <v>178</v>
      </c>
      <c r="B137" s="173"/>
      <c r="C137" s="174">
        <f>C112+C117+C133</f>
        <v>206.81818181818184</v>
      </c>
      <c r="D137" s="174">
        <f>D112+D117+D133</f>
        <v>691.42857142857133</v>
      </c>
      <c r="E137" s="174">
        <f t="shared" ref="E137:K137" si="189">E112+E117+E133</f>
        <v>404.91903550848303</v>
      </c>
      <c r="F137" s="174">
        <f>F112+F117+F133</f>
        <v>337.27717800652778</v>
      </c>
      <c r="G137" s="174">
        <f>G112+G117+G133</f>
        <v>128.96712399689338</v>
      </c>
      <c r="H137" s="174">
        <f>H112+H117+H133</f>
        <v>258.94664664010969</v>
      </c>
      <c r="I137" s="174">
        <f>I112+I117+I133</f>
        <v>387.39535630176198</v>
      </c>
      <c r="J137" s="174">
        <f>J112+J117+J133</f>
        <v>245.35971609850509</v>
      </c>
      <c r="K137" s="175">
        <f t="shared" si="189"/>
        <v>291.17775065947825</v>
      </c>
      <c r="L137" s="175">
        <f t="shared" ref="L137:M137" si="190">L112+L117+L133</f>
        <v>352.19873699616375</v>
      </c>
      <c r="M137" s="175">
        <f t="shared" si="190"/>
        <v>408.56669504787311</v>
      </c>
      <c r="N137" s="175">
        <f t="shared" ref="N137:O137" si="191">N112+N117+N133</f>
        <v>518.38960033271678</v>
      </c>
      <c r="O137" s="175">
        <f t="shared" si="191"/>
        <v>551.61741342808875</v>
      </c>
      <c r="P137" s="164"/>
      <c r="X137" s="172"/>
      <c r="Y137" s="151"/>
      <c r="Z137" s="151"/>
      <c r="AA137" s="151"/>
      <c r="AB137" s="151"/>
      <c r="AC137" s="151"/>
      <c r="AD137" s="151"/>
    </row>
    <row r="138" spans="1:30" ht="15.75">
      <c r="A138" s="173" t="s">
        <v>179</v>
      </c>
      <c r="B138" s="173"/>
      <c r="C138" s="174">
        <f t="shared" ref="C138:F138" si="192">C137-C133+C135-C131-C111-C132</f>
        <v>287.94466403162062</v>
      </c>
      <c r="D138" s="174">
        <f t="shared" si="192"/>
        <v>490.61224489795916</v>
      </c>
      <c r="E138" s="174">
        <f t="shared" si="192"/>
        <v>426.52029746000085</v>
      </c>
      <c r="F138" s="174">
        <f t="shared" si="192"/>
        <v>262.08260105448164</v>
      </c>
      <c r="G138" s="174">
        <f>G137-G133+G135-G131-G111-G132</f>
        <v>339.45120372767252</v>
      </c>
      <c r="H138" s="174">
        <f>H137-H133+H135-H131-H111-H132</f>
        <v>483.51074250636708</v>
      </c>
      <c r="I138" s="174">
        <f>I137-I133+I135-I131-I111-I132</f>
        <v>231.32648833850251</v>
      </c>
      <c r="J138" s="174">
        <f>J137-J133+J135-J131-J111-J132</f>
        <v>261.2065813528335</v>
      </c>
      <c r="K138" s="175">
        <f t="shared" ref="J138:M138" si="193">K137-K133+K135-K111-K132</f>
        <v>381.06998382940839</v>
      </c>
      <c r="L138" s="175">
        <f t="shared" si="193"/>
        <v>391.84671152693824</v>
      </c>
      <c r="M138" s="175">
        <f t="shared" si="193"/>
        <v>450.26517571675271</v>
      </c>
      <c r="N138" s="175">
        <f t="shared" ref="N138:O138" si="194">N137-N133+N135-N111-N132</f>
        <v>563.25142974040489</v>
      </c>
      <c r="O138" s="175">
        <f t="shared" si="194"/>
        <v>596.92933298959417</v>
      </c>
      <c r="P138" s="164"/>
      <c r="Q138" s="403">
        <v>174</v>
      </c>
      <c r="R138" s="208">
        <f>Q138/J138</f>
        <v>0.66613941769316942</v>
      </c>
      <c r="X138" s="172"/>
      <c r="Y138" s="151"/>
      <c r="Z138" s="151"/>
      <c r="AA138" s="151"/>
      <c r="AB138" s="151"/>
      <c r="AC138" s="151"/>
      <c r="AD138" s="151"/>
    </row>
    <row r="139" spans="1:30" ht="15.75">
      <c r="A139" s="233" t="s">
        <v>23</v>
      </c>
      <c r="B139" s="233"/>
      <c r="C139" s="234">
        <f>-695/C7</f>
        <v>-22.891963109354414</v>
      </c>
      <c r="D139" s="234">
        <f>-1999/D7</f>
        <v>-67.993197278911566</v>
      </c>
      <c r="E139" s="234">
        <f>-666/E7</f>
        <v>-21.440298747706276</v>
      </c>
      <c r="F139" s="234">
        <f>-794/F7</f>
        <v>-24.918403213658046</v>
      </c>
      <c r="G139" s="234">
        <f>-2523/G7</f>
        <v>-65.311933730261444</v>
      </c>
      <c r="H139" s="234">
        <f>-1967/H7</f>
        <v>-32.113237118787957</v>
      </c>
      <c r="I139" s="234">
        <f>630/I7</f>
        <v>9.405336408729049</v>
      </c>
      <c r="J139" s="234">
        <f>-828/J7</f>
        <v>-14.24669319281643</v>
      </c>
      <c r="K139" s="235">
        <f t="shared" ref="J139:M139" si="195">-K137*K140</f>
        <v>-16.907095199582614</v>
      </c>
      <c r="L139" s="235">
        <f t="shared" si="195"/>
        <v>-20.450249244938547</v>
      </c>
      <c r="M139" s="235">
        <f t="shared" si="195"/>
        <v>-23.723227454392642</v>
      </c>
      <c r="N139" s="235">
        <f t="shared" ref="N139:O139" si="196">-N137*N140</f>
        <v>-30.100041309641632</v>
      </c>
      <c r="O139" s="235">
        <f t="shared" si="196"/>
        <v>-32.029398199050327</v>
      </c>
      <c r="P139" s="164"/>
      <c r="Q139" s="403">
        <f>-525/Q$7</f>
        <v>-9.0501637648681257</v>
      </c>
      <c r="R139" s="208">
        <f>Q139/J139</f>
        <v>0.63524662476984228</v>
      </c>
      <c r="X139" s="172"/>
      <c r="Y139" s="151"/>
      <c r="Z139" s="151"/>
      <c r="AA139" s="151"/>
      <c r="AB139" s="151"/>
      <c r="AC139" s="151"/>
      <c r="AD139" s="151"/>
    </row>
    <row r="140" spans="1:30" s="2" customFormat="1" ht="15.75">
      <c r="A140" s="236" t="s">
        <v>180</v>
      </c>
      <c r="B140" s="236"/>
      <c r="C140" s="212">
        <f>-C139/C137</f>
        <v>0.11068641503424111</v>
      </c>
      <c r="D140" s="212">
        <f t="shared" ref="D140:G140" si="197">-D139/D137</f>
        <v>9.8337268791814259E-2</v>
      </c>
      <c r="E140" s="212">
        <f t="shared" si="197"/>
        <v>5.2949594530131948E-2</v>
      </c>
      <c r="F140" s="212">
        <f t="shared" si="197"/>
        <v>7.3881083092956157E-2</v>
      </c>
      <c r="G140" s="212">
        <f t="shared" si="197"/>
        <v>0.506423123243678</v>
      </c>
      <c r="H140" s="212">
        <f>-H139/H137</f>
        <v>0.12401487926360255</v>
      </c>
      <c r="I140" s="212">
        <f>-I139/I137</f>
        <v>-2.4278392230914492E-2</v>
      </c>
      <c r="J140" s="212">
        <f>-J139/J137</f>
        <v>5.8064516129032281E-2</v>
      </c>
      <c r="K140" s="213">
        <f>J140</f>
        <v>5.8064516129032281E-2</v>
      </c>
      <c r="L140" s="213">
        <f t="shared" ref="L140:O140" si="198">K140</f>
        <v>5.8064516129032281E-2</v>
      </c>
      <c r="M140" s="213">
        <f t="shared" si="198"/>
        <v>5.8064516129032281E-2</v>
      </c>
      <c r="N140" s="213">
        <f t="shared" si="198"/>
        <v>5.8064516129032281E-2</v>
      </c>
      <c r="O140" s="213">
        <f t="shared" si="198"/>
        <v>5.8064516129032281E-2</v>
      </c>
      <c r="P140" s="237"/>
      <c r="X140" s="346"/>
      <c r="Y140" s="238"/>
      <c r="Z140" s="238"/>
      <c r="AA140" s="238"/>
      <c r="AB140" s="238"/>
      <c r="AC140" s="238"/>
      <c r="AD140" s="238"/>
    </row>
    <row r="141" spans="1:30" ht="15.75">
      <c r="A141" s="239" t="s">
        <v>2</v>
      </c>
      <c r="B141" s="239"/>
      <c r="C141" s="240">
        <f>1491/C7</f>
        <v>49.110671936758891</v>
      </c>
      <c r="D141" s="240">
        <f>1917/D7</f>
        <v>65.204081632653057</v>
      </c>
      <c r="E141" s="240">
        <f>1970/E7</f>
        <v>63.419502301773818</v>
      </c>
      <c r="F141" s="240">
        <f>2566/F7</f>
        <v>80.529751443635448</v>
      </c>
      <c r="G141" s="240">
        <f>3871/G7</f>
        <v>100.20709293295366</v>
      </c>
      <c r="H141" s="240">
        <f>4594/H7</f>
        <v>75.001632599751844</v>
      </c>
      <c r="I141" s="240">
        <f>6095/I7</f>
        <v>90.992897478100872</v>
      </c>
      <c r="J141" s="240">
        <f>7957/J7</f>
        <v>136.90934509086998</v>
      </c>
      <c r="K141" s="241">
        <f>J142*K143</f>
        <v>137.21875</v>
      </c>
      <c r="L141" s="241">
        <f t="shared" ref="L141:O141" si="199">K142*L143</f>
        <v>149.75260851436485</v>
      </c>
      <c r="M141" s="241">
        <f t="shared" si="199"/>
        <v>159.84377596421007</v>
      </c>
      <c r="N141" s="241">
        <f t="shared" si="199"/>
        <v>163.72169454661631</v>
      </c>
      <c r="O141" s="241">
        <f t="shared" si="199"/>
        <v>151.95898611147376</v>
      </c>
      <c r="P141" s="164"/>
      <c r="Q141" s="403">
        <f>-Q110</f>
        <v>106.03344250991209</v>
      </c>
      <c r="R141" s="208">
        <f>Q141/J141</f>
        <v>0.77447921790536056</v>
      </c>
      <c r="X141" s="172"/>
      <c r="Y141" s="151"/>
      <c r="Z141" s="151"/>
      <c r="AA141" s="151"/>
      <c r="AB141" s="151"/>
      <c r="AC141" s="151"/>
      <c r="AD141" s="151"/>
    </row>
    <row r="142" spans="1:30" ht="15.75">
      <c r="A142" s="242" t="s">
        <v>181</v>
      </c>
      <c r="B142" s="242"/>
      <c r="C142" s="240">
        <f>24091/C8</f>
        <v>788.96348452595385</v>
      </c>
      <c r="D142" s="240">
        <f>33472/D8</f>
        <v>1041.4436838830118</v>
      </c>
      <c r="E142" s="240">
        <f>47866/E8</f>
        <v>1576.1986301369864</v>
      </c>
      <c r="F142" s="240">
        <f>61068/F8</f>
        <v>1857.8643139641013</v>
      </c>
      <c r="G142" s="240">
        <f>cover!K75</f>
        <v>1289.6299193003661</v>
      </c>
      <c r="H142" s="240">
        <f>cover!L75</f>
        <v>1161.8669451049427</v>
      </c>
      <c r="I142" s="240">
        <f>cover!M75</f>
        <v>1396.5291258108937</v>
      </c>
      <c r="J142" s="240">
        <f>cover!N75</f>
        <v>1524.6527777777778</v>
      </c>
      <c r="K142" s="241">
        <f>(J142*J8-K141*K7-K144*K7)/K8</f>
        <v>1663.9178723818318</v>
      </c>
      <c r="L142" s="241">
        <f>(K142*K8-L141*L7-L144*L7)/L8</f>
        <v>1776.0419551578896</v>
      </c>
      <c r="M142" s="241">
        <f>(L142*L8-M141*M7-M144*M7)/M8</f>
        <v>1819.1299394068481</v>
      </c>
      <c r="N142" s="241">
        <f>(M142*M8-N141*N7-N144*N7)/N8</f>
        <v>1688.4331790163753</v>
      </c>
      <c r="O142" s="241">
        <f>(N142*N8-O141*O7-O144*O7)/O8</f>
        <v>1549.2912118677673</v>
      </c>
      <c r="P142" s="164"/>
      <c r="X142" s="172"/>
      <c r="Y142" s="151"/>
      <c r="Z142" s="151"/>
      <c r="AA142" s="151"/>
      <c r="AB142" s="151"/>
      <c r="AC142" s="151"/>
      <c r="AD142" s="151"/>
    </row>
    <row r="143" spans="1:30" ht="15.75">
      <c r="A143" s="176" t="s">
        <v>182</v>
      </c>
      <c r="B143" s="176"/>
      <c r="C143" s="220">
        <f>C141/C142</f>
        <v>6.2247078476980314E-2</v>
      </c>
      <c r="D143" s="220">
        <f t="shared" ref="D143:J143" si="200">D141/C142</f>
        <v>8.2645246467687561E-2</v>
      </c>
      <c r="E143" s="220">
        <f t="shared" si="200"/>
        <v>6.0895757767059348E-2</v>
      </c>
      <c r="F143" s="220">
        <f t="shared" si="200"/>
        <v>5.1091118786619337E-2</v>
      </c>
      <c r="G143" s="220">
        <f t="shared" si="200"/>
        <v>5.3936712266754866E-2</v>
      </c>
      <c r="H143" s="220">
        <f t="shared" si="200"/>
        <v>5.8157484932143011E-2</v>
      </c>
      <c r="I143" s="220">
        <f t="shared" si="200"/>
        <v>7.8316108278544891E-2</v>
      </c>
      <c r="J143" s="220">
        <f t="shared" si="200"/>
        <v>9.8035438402599484E-2</v>
      </c>
      <c r="K143" s="232">
        <v>0.09</v>
      </c>
      <c r="L143" s="232">
        <f t="shared" ref="L143:O143" si="201">K143</f>
        <v>0.09</v>
      </c>
      <c r="M143" s="232">
        <f t="shared" si="201"/>
        <v>0.09</v>
      </c>
      <c r="N143" s="232">
        <f t="shared" si="201"/>
        <v>0.09</v>
      </c>
      <c r="O143" s="232">
        <f t="shared" si="201"/>
        <v>0.09</v>
      </c>
      <c r="P143" s="164"/>
      <c r="X143" s="172"/>
      <c r="Y143" s="151"/>
      <c r="Z143" s="151"/>
      <c r="AA143" s="151"/>
      <c r="AB143" s="151"/>
      <c r="AC143" s="151"/>
      <c r="AD143" s="151"/>
    </row>
    <row r="144" spans="1:30" ht="15.75">
      <c r="A144" s="173" t="s">
        <v>9</v>
      </c>
      <c r="B144" s="173"/>
      <c r="C144" s="243">
        <f>-5449/C7</f>
        <v>-179.47957839262187</v>
      </c>
      <c r="D144" s="243">
        <f>-10844/D7</f>
        <v>-368.84353741496602</v>
      </c>
      <c r="E144" s="243">
        <f>-16122/E7</f>
        <v>-519.00975437015097</v>
      </c>
      <c r="F144" s="243">
        <f>-14443/F7</f>
        <v>-453.27014812955059</v>
      </c>
      <c r="G144" s="243">
        <f>-11478/G7</f>
        <v>-297.12658555526792</v>
      </c>
      <c r="H144" s="243">
        <f>-15107/H7</f>
        <v>-246.63684451119963</v>
      </c>
      <c r="I144" s="243">
        <f>-12128/I7</f>
        <v>-181.06019042073953</v>
      </c>
      <c r="J144" s="243">
        <f>-11299/J7</f>
        <v>-194.4123023981073</v>
      </c>
      <c r="K144" s="175">
        <f>K146+K155</f>
        <v>-320</v>
      </c>
      <c r="L144" s="175">
        <f t="shared" ref="L144:M144" si="202">L146+L155</f>
        <v>-312</v>
      </c>
      <c r="M144" s="175">
        <f t="shared" si="202"/>
        <v>-254</v>
      </c>
      <c r="N144" s="175">
        <f t="shared" ref="N144:O144" si="203">N146+N155</f>
        <v>-78</v>
      </c>
      <c r="O144" s="175">
        <f t="shared" si="203"/>
        <v>-52</v>
      </c>
      <c r="P144" s="164"/>
      <c r="Q144" s="403">
        <f>-8181/Q$7</f>
        <v>-141.02740906740217</v>
      </c>
      <c r="R144" s="208">
        <f>Q144/J144</f>
        <v>0.72540372871369863</v>
      </c>
      <c r="X144" s="172"/>
      <c r="Y144" s="151"/>
      <c r="Z144" s="151"/>
      <c r="AA144" s="151"/>
      <c r="AB144" s="151"/>
      <c r="AC144" s="151"/>
      <c r="AD144" s="151"/>
    </row>
    <row r="145" spans="1:30" ht="15.75">
      <c r="A145" s="202" t="s">
        <v>183</v>
      </c>
      <c r="B145" s="202"/>
      <c r="C145" s="220">
        <f t="shared" ref="C145:N145" si="204">C144/C9</f>
        <v>-0.12246595046523126</v>
      </c>
      <c r="D145" s="220">
        <f t="shared" si="204"/>
        <v>-0.17171269318469726</v>
      </c>
      <c r="E145" s="220">
        <f t="shared" si="204"/>
        <v>-0.23294658209192443</v>
      </c>
      <c r="F145" s="220">
        <f t="shared" si="204"/>
        <v>-0.21903577548946754</v>
      </c>
      <c r="G145" s="220">
        <f t="shared" si="204"/>
        <v>-0.16058087803240159</v>
      </c>
      <c r="H145" s="220">
        <f t="shared" si="204"/>
        <v>-0.14861342016467788</v>
      </c>
      <c r="I145" s="220">
        <f>I144/I9</f>
        <v>-0.14174185405076903</v>
      </c>
      <c r="J145" s="220">
        <f>J144/J9</f>
        <v>-0.12548588436507407</v>
      </c>
      <c r="K145" s="246">
        <f t="shared" si="204"/>
        <v>-0.18857704424289676</v>
      </c>
      <c r="L145" s="246">
        <f t="shared" si="204"/>
        <v>-0.17904170903196773</v>
      </c>
      <c r="M145" s="246">
        <f t="shared" si="204"/>
        <v>-0.13397864499635223</v>
      </c>
      <c r="N145" s="246">
        <f t="shared" si="204"/>
        <v>-3.6623647219854519E-2</v>
      </c>
      <c r="O145" s="246">
        <f t="shared" ref="O145" si="205">O144/O9</f>
        <v>-2.4065645022706847E-2</v>
      </c>
      <c r="P145" s="164"/>
      <c r="X145" s="172"/>
      <c r="Y145" s="151"/>
      <c r="Z145" s="151"/>
      <c r="AA145" s="151"/>
      <c r="AB145" s="151"/>
      <c r="AC145" s="151"/>
      <c r="AD145" s="151"/>
    </row>
    <row r="146" spans="1:30" s="2" customFormat="1" ht="15.75" customHeight="1" outlineLevel="1">
      <c r="A146" s="214" t="s">
        <v>184</v>
      </c>
      <c r="B146" s="214"/>
      <c r="C146" s="215">
        <f>C144-C155</f>
        <v>-130.368906455863</v>
      </c>
      <c r="D146" s="215">
        <f>D144-D155</f>
        <v>-303.63945578231295</v>
      </c>
      <c r="E146" s="215">
        <f>E144-E155</f>
        <v>-455.59025206837714</v>
      </c>
      <c r="F146" s="215">
        <f>F144-F155</f>
        <v>-372.74039668591513</v>
      </c>
      <c r="G146" s="215">
        <f>G147+G148+G149</f>
        <v>-230.70152731038047</v>
      </c>
      <c r="H146" s="215">
        <f>H147+H148+H149</f>
        <v>-205.2845947887416</v>
      </c>
      <c r="I146" s="215">
        <f>SUM(I147:I154)</f>
        <v>-121</v>
      </c>
      <c r="J146" s="217">
        <f t="shared" ref="J146:N146" si="206">SUM(J147:J154)</f>
        <v>-150</v>
      </c>
      <c r="K146" s="217">
        <f t="shared" si="206"/>
        <v>-268</v>
      </c>
      <c r="L146" s="217">
        <f t="shared" si="206"/>
        <v>-260</v>
      </c>
      <c r="M146" s="217">
        <f t="shared" si="206"/>
        <v>-202</v>
      </c>
      <c r="N146" s="217">
        <f t="shared" si="206"/>
        <v>-26</v>
      </c>
      <c r="O146" s="217">
        <f t="shared" ref="O146" si="207">SUM(O147:O154)</f>
        <v>0</v>
      </c>
      <c r="P146" s="237"/>
      <c r="X146" s="346"/>
      <c r="Y146" s="238"/>
      <c r="Z146" s="238"/>
      <c r="AA146" s="238"/>
      <c r="AB146" s="238"/>
      <c r="AC146" s="238"/>
      <c r="AD146" s="238"/>
    </row>
    <row r="147" spans="1:30" s="2" customFormat="1" ht="15.75" customHeight="1" outlineLevel="1">
      <c r="A147" s="222" t="s">
        <v>185</v>
      </c>
      <c r="B147" s="222"/>
      <c r="C147" s="215"/>
      <c r="D147" s="215"/>
      <c r="E147" s="215"/>
      <c r="F147" s="215"/>
      <c r="G147" s="215">
        <f>-149.935283458452-11.7525239451203</f>
        <v>-161.68780740357229</v>
      </c>
      <c r="H147" s="215">
        <v>-156</v>
      </c>
      <c r="I147" s="215">
        <v>-71</v>
      </c>
      <c r="J147" s="399">
        <v>0</v>
      </c>
      <c r="K147" s="399">
        <v>0</v>
      </c>
      <c r="L147" s="399">
        <v>0</v>
      </c>
      <c r="M147" s="399">
        <v>-20</v>
      </c>
      <c r="N147" s="399">
        <v>0</v>
      </c>
      <c r="O147" s="399">
        <v>0</v>
      </c>
      <c r="P147" s="237"/>
      <c r="X147" s="346"/>
      <c r="Y147" s="238"/>
      <c r="Z147" s="238"/>
      <c r="AA147" s="238"/>
      <c r="AB147" s="238"/>
      <c r="AC147" s="238"/>
      <c r="AD147" s="238"/>
    </row>
    <row r="148" spans="1:30" s="2" customFormat="1" ht="15.75" customHeight="1" outlineLevel="1">
      <c r="A148" s="222" t="s">
        <v>186</v>
      </c>
      <c r="B148" s="222"/>
      <c r="C148" s="215"/>
      <c r="D148" s="215"/>
      <c r="E148" s="215"/>
      <c r="F148" s="215"/>
      <c r="G148" s="215">
        <v>-69.013719906808177</v>
      </c>
      <c r="H148" s="215">
        <f>-2100/H7</f>
        <v>-34.284594788741593</v>
      </c>
      <c r="I148" s="215">
        <v>-41</v>
      </c>
      <c r="J148" s="400">
        <f>-33-45</f>
        <v>-78</v>
      </c>
      <c r="K148" s="401">
        <f>-31-20</f>
        <v>-51</v>
      </c>
      <c r="L148" s="402">
        <v>-36</v>
      </c>
      <c r="M148" s="402">
        <v>-28</v>
      </c>
      <c r="N148" s="402">
        <v>-17</v>
      </c>
      <c r="O148" s="402">
        <v>0</v>
      </c>
      <c r="P148" s="237"/>
      <c r="X148" s="346"/>
      <c r="Y148" s="238"/>
      <c r="Z148" s="238"/>
      <c r="AA148" s="238"/>
      <c r="AB148" s="238"/>
      <c r="AC148" s="238"/>
      <c r="AD148" s="238"/>
    </row>
    <row r="149" spans="1:30" s="2" customFormat="1" ht="15.75" customHeight="1" outlineLevel="1">
      <c r="A149" s="222" t="s">
        <v>217</v>
      </c>
      <c r="B149" s="222"/>
      <c r="C149" s="215"/>
      <c r="D149" s="215"/>
      <c r="E149" s="215"/>
      <c r="F149" s="215"/>
      <c r="G149" s="215">
        <v>0</v>
      </c>
      <c r="H149" s="215">
        <v>-15</v>
      </c>
      <c r="I149" s="215">
        <v>-9</v>
      </c>
      <c r="J149" s="402">
        <v>-9</v>
      </c>
      <c r="K149" s="402">
        <v>-9</v>
      </c>
      <c r="L149" s="402">
        <v>-9</v>
      </c>
      <c r="M149" s="402">
        <v>-9</v>
      </c>
      <c r="N149" s="402">
        <v>-9</v>
      </c>
      <c r="O149" s="402">
        <v>0</v>
      </c>
      <c r="P149" s="237"/>
      <c r="X149" s="346"/>
      <c r="Y149" s="238"/>
      <c r="Z149" s="238"/>
      <c r="AA149" s="238"/>
      <c r="AB149" s="238"/>
      <c r="AC149" s="238"/>
      <c r="AD149" s="238"/>
    </row>
    <row r="150" spans="1:30" s="2" customFormat="1" ht="15.75" customHeight="1" outlineLevel="1">
      <c r="A150" s="222" t="s">
        <v>323</v>
      </c>
      <c r="B150" s="222"/>
      <c r="C150" s="215"/>
      <c r="D150" s="215"/>
      <c r="E150" s="215"/>
      <c r="F150" s="215"/>
      <c r="G150" s="215"/>
      <c r="H150" s="215"/>
      <c r="I150" s="215"/>
      <c r="J150" s="402">
        <v>-13</v>
      </c>
      <c r="K150" s="402">
        <v>-13</v>
      </c>
      <c r="L150" s="402">
        <v>0</v>
      </c>
      <c r="M150" s="402">
        <v>0</v>
      </c>
      <c r="N150" s="402">
        <v>0</v>
      </c>
      <c r="O150" s="402">
        <v>0</v>
      </c>
      <c r="P150" s="237"/>
      <c r="X150" s="346"/>
      <c r="Y150" s="238"/>
      <c r="Z150" s="238"/>
      <c r="AA150" s="238"/>
      <c r="AB150" s="238"/>
      <c r="AC150" s="238"/>
      <c r="AD150" s="238"/>
    </row>
    <row r="151" spans="1:30" s="2" customFormat="1" ht="15.75" customHeight="1" outlineLevel="1">
      <c r="A151" s="222" t="s">
        <v>281</v>
      </c>
      <c r="B151" s="222"/>
      <c r="C151" s="215"/>
      <c r="D151" s="215"/>
      <c r="E151" s="215"/>
      <c r="F151" s="215"/>
      <c r="G151" s="215"/>
      <c r="H151" s="215"/>
      <c r="I151" s="215"/>
      <c r="J151" s="402">
        <v>-25</v>
      </c>
      <c r="K151" s="402">
        <v>-50</v>
      </c>
      <c r="L151" s="402">
        <v>-25</v>
      </c>
      <c r="M151" s="402">
        <v>0</v>
      </c>
      <c r="N151" s="402">
        <v>0</v>
      </c>
      <c r="O151" s="402">
        <v>0</v>
      </c>
      <c r="P151" s="237"/>
      <c r="X151" s="346"/>
      <c r="Y151" s="238"/>
      <c r="Z151" s="238"/>
      <c r="AA151" s="238"/>
      <c r="AB151" s="238"/>
      <c r="AC151" s="238"/>
      <c r="AD151" s="238"/>
    </row>
    <row r="152" spans="1:30" s="2" customFormat="1" ht="15.75" customHeight="1" outlineLevel="1">
      <c r="A152" s="222" t="s">
        <v>282</v>
      </c>
      <c r="B152" s="222"/>
      <c r="C152" s="215"/>
      <c r="D152" s="215"/>
      <c r="E152" s="215"/>
      <c r="F152" s="215"/>
      <c r="G152" s="215"/>
      <c r="H152" s="215"/>
      <c r="I152" s="215"/>
      <c r="J152" s="402">
        <v>-15</v>
      </c>
      <c r="K152" s="402">
        <v>-90</v>
      </c>
      <c r="L152" s="402">
        <v>-110</v>
      </c>
      <c r="M152" s="402">
        <v>-115</v>
      </c>
      <c r="N152" s="402">
        <v>0</v>
      </c>
      <c r="O152" s="402">
        <v>0</v>
      </c>
      <c r="P152" s="237"/>
      <c r="X152" s="346"/>
      <c r="Y152" s="238"/>
      <c r="Z152" s="238"/>
      <c r="AA152" s="238"/>
      <c r="AB152" s="238"/>
      <c r="AC152" s="238"/>
      <c r="AD152" s="238"/>
    </row>
    <row r="153" spans="1:30" s="2" customFormat="1" ht="15.75" customHeight="1" outlineLevel="1">
      <c r="A153" s="222" t="s">
        <v>283</v>
      </c>
      <c r="B153" s="222"/>
      <c r="C153" s="215"/>
      <c r="D153" s="215"/>
      <c r="E153" s="215"/>
      <c r="F153" s="215"/>
      <c r="G153" s="215"/>
      <c r="H153" s="215"/>
      <c r="I153" s="215"/>
      <c r="J153" s="402">
        <f>-5</f>
        <v>-5</v>
      </c>
      <c r="K153" s="402">
        <f>-10</f>
        <v>-10</v>
      </c>
      <c r="L153" s="402">
        <f>-10-45</f>
        <v>-55</v>
      </c>
      <c r="M153" s="402">
        <v>-30</v>
      </c>
      <c r="N153" s="402">
        <v>0</v>
      </c>
      <c r="O153" s="402">
        <v>0</v>
      </c>
      <c r="P153" s="237"/>
      <c r="X153" s="346"/>
      <c r="Y153" s="238"/>
      <c r="Z153" s="238"/>
      <c r="AA153" s="238"/>
      <c r="AB153" s="238"/>
      <c r="AC153" s="238"/>
      <c r="AD153" s="238"/>
    </row>
    <row r="154" spans="1:30" s="2" customFormat="1" ht="15.75" customHeight="1" outlineLevel="1">
      <c r="A154" s="222" t="s">
        <v>284</v>
      </c>
      <c r="B154" s="222"/>
      <c r="C154" s="215"/>
      <c r="D154" s="215"/>
      <c r="E154" s="215"/>
      <c r="F154" s="215"/>
      <c r="G154" s="215"/>
      <c r="H154" s="215"/>
      <c r="I154" s="215"/>
      <c r="J154" s="402">
        <v>-5</v>
      </c>
      <c r="K154" s="402">
        <v>-45</v>
      </c>
      <c r="L154" s="402">
        <v>-25</v>
      </c>
      <c r="M154" s="402">
        <v>0</v>
      </c>
      <c r="N154" s="402">
        <v>0</v>
      </c>
      <c r="O154" s="402">
        <v>0</v>
      </c>
      <c r="P154" s="237"/>
      <c r="T154" s="2" t="s">
        <v>320</v>
      </c>
      <c r="X154" s="346"/>
      <c r="Y154" s="238"/>
      <c r="Z154" s="238"/>
      <c r="AA154" s="238"/>
      <c r="AB154" s="238"/>
      <c r="AC154" s="238"/>
      <c r="AD154" s="238"/>
    </row>
    <row r="155" spans="1:30" ht="15.75" customHeight="1" outlineLevel="1">
      <c r="A155" s="214" t="s">
        <v>187</v>
      </c>
      <c r="B155" s="214"/>
      <c r="C155" s="215">
        <f>-C141</f>
        <v>-49.110671936758891</v>
      </c>
      <c r="D155" s="215">
        <f>-D141</f>
        <v>-65.204081632653057</v>
      </c>
      <c r="E155" s="215">
        <f>-E141</f>
        <v>-63.419502301773818</v>
      </c>
      <c r="F155" s="215">
        <f>-F141</f>
        <v>-80.529751443635448</v>
      </c>
      <c r="G155" s="215">
        <f t="shared" ref="G155" si="208">SUM(G157:G159)</f>
        <v>-66.425058244887396</v>
      </c>
      <c r="H155" s="215">
        <f>SUM(H157:H159)</f>
        <v>-41.352249722458026</v>
      </c>
      <c r="I155" s="215">
        <f>SUM(I157:I159)</f>
        <v>-57</v>
      </c>
      <c r="J155" s="217">
        <f t="shared" ref="J155:N155" si="209">SUM(J157:J159)</f>
        <v>-42</v>
      </c>
      <c r="K155" s="217">
        <f t="shared" si="209"/>
        <v>-52</v>
      </c>
      <c r="L155" s="217">
        <f t="shared" si="209"/>
        <v>-52</v>
      </c>
      <c r="M155" s="217">
        <f t="shared" si="209"/>
        <v>-52</v>
      </c>
      <c r="N155" s="217">
        <f t="shared" si="209"/>
        <v>-52</v>
      </c>
      <c r="O155" s="217">
        <f t="shared" ref="O155" si="210">SUM(O157:O159)</f>
        <v>-52</v>
      </c>
      <c r="P155" s="164" t="s">
        <v>214</v>
      </c>
      <c r="Q155" s="217">
        <f>J155*R144</f>
        <v>-30.466956605975341</v>
      </c>
      <c r="X155" s="172"/>
      <c r="Y155" s="151"/>
      <c r="Z155" s="151"/>
      <c r="AA155" s="151"/>
      <c r="AB155" s="151"/>
      <c r="AC155" s="151"/>
      <c r="AD155" s="151"/>
    </row>
    <row r="156" spans="1:30" ht="15.75" customHeight="1" outlineLevel="1">
      <c r="A156" s="244" t="s">
        <v>183</v>
      </c>
      <c r="B156" s="244"/>
      <c r="C156" s="245">
        <f t="shared" ref="C156:N156" si="211">C155/C9</f>
        <v>-3.3510136198139071E-2</v>
      </c>
      <c r="D156" s="245">
        <f t="shared" si="211"/>
        <v>-3.0355333164428677E-2</v>
      </c>
      <c r="E156" s="245">
        <f t="shared" si="211"/>
        <v>-2.8464506061350401E-2</v>
      </c>
      <c r="F156" s="245">
        <f t="shared" si="211"/>
        <v>-3.8914754545868152E-2</v>
      </c>
      <c r="G156" s="245">
        <f t="shared" si="211"/>
        <v>-3.58991577828143E-2</v>
      </c>
      <c r="H156" s="245">
        <f t="shared" si="211"/>
        <v>-2.4917198705399733E-2</v>
      </c>
      <c r="I156" s="245">
        <f t="shared" si="211"/>
        <v>-4.4622098662989107E-2</v>
      </c>
      <c r="J156" s="246">
        <f t="shared" si="211"/>
        <v>-2.7109432264943029E-2</v>
      </c>
      <c r="K156" s="246">
        <f t="shared" si="211"/>
        <v>-3.0643769689470721E-2</v>
      </c>
      <c r="L156" s="246">
        <f t="shared" si="211"/>
        <v>-2.9840284838661291E-2</v>
      </c>
      <c r="M156" s="246">
        <f t="shared" si="211"/>
        <v>-2.7428698975631164E-2</v>
      </c>
      <c r="N156" s="246">
        <f t="shared" si="211"/>
        <v>-2.4415764813236346E-2</v>
      </c>
      <c r="O156" s="246">
        <f t="shared" ref="O156" si="212">O155/O9</f>
        <v>-2.4065645022706847E-2</v>
      </c>
      <c r="P156" s="164"/>
      <c r="X156" s="172"/>
      <c r="Y156" s="151"/>
      <c r="Z156" s="151"/>
      <c r="AA156" s="151"/>
      <c r="AB156" s="151"/>
      <c r="AC156" s="151"/>
      <c r="AD156" s="151"/>
    </row>
    <row r="157" spans="1:30" ht="15.75" customHeight="1" outlineLevel="1">
      <c r="A157" s="222" t="s">
        <v>188</v>
      </c>
      <c r="B157" s="222"/>
      <c r="C157" s="215"/>
      <c r="D157" s="215"/>
      <c r="E157" s="215"/>
      <c r="F157" s="215"/>
      <c r="G157" s="215">
        <v>-23.220295107429457</v>
      </c>
      <c r="H157" s="215">
        <v>-21.352249722458026</v>
      </c>
      <c r="I157" s="215">
        <v>-35</v>
      </c>
      <c r="J157" s="217">
        <v>-20</v>
      </c>
      <c r="K157" s="217">
        <v>-30</v>
      </c>
      <c r="L157" s="217">
        <v>-30</v>
      </c>
      <c r="M157" s="217">
        <v>-30</v>
      </c>
      <c r="N157" s="217">
        <v>-30</v>
      </c>
      <c r="O157" s="217">
        <v>-30</v>
      </c>
      <c r="P157" s="164"/>
      <c r="X157" s="172"/>
      <c r="Y157" s="151"/>
      <c r="Z157" s="151"/>
      <c r="AA157" s="151"/>
      <c r="AB157" s="151"/>
      <c r="AC157" s="151"/>
      <c r="AD157" s="151"/>
    </row>
    <row r="158" spans="1:30" ht="15.75" customHeight="1" outlineLevel="1">
      <c r="A158" s="222" t="s">
        <v>189</v>
      </c>
      <c r="B158" s="222"/>
      <c r="C158" s="215"/>
      <c r="D158" s="215"/>
      <c r="E158" s="215"/>
      <c r="F158" s="215"/>
      <c r="G158" s="215">
        <v>-23.763914056432824</v>
      </c>
      <c r="H158" s="215">
        <v>-10</v>
      </c>
      <c r="I158" s="215">
        <v>-13</v>
      </c>
      <c r="J158" s="217">
        <v>-13</v>
      </c>
      <c r="K158" s="217">
        <v>-13</v>
      </c>
      <c r="L158" s="217">
        <v>-13</v>
      </c>
      <c r="M158" s="217">
        <v>-13</v>
      </c>
      <c r="N158" s="217">
        <v>-13</v>
      </c>
      <c r="O158" s="217">
        <v>-13</v>
      </c>
      <c r="P158" s="164"/>
      <c r="X158" s="172"/>
      <c r="Y158" s="151"/>
      <c r="Z158" s="151"/>
      <c r="AA158" s="151"/>
      <c r="AB158" s="151"/>
      <c r="AC158" s="151"/>
      <c r="AD158" s="151"/>
    </row>
    <row r="159" spans="1:30" ht="15.75" customHeight="1" outlineLevel="1">
      <c r="A159" s="222" t="s">
        <v>278</v>
      </c>
      <c r="B159" s="222"/>
      <c r="C159" s="215"/>
      <c r="D159" s="215"/>
      <c r="E159" s="215"/>
      <c r="F159" s="215"/>
      <c r="G159" s="215">
        <v>-19.44084908102511</v>
      </c>
      <c r="H159" s="215">
        <v>-10</v>
      </c>
      <c r="I159" s="215">
        <v>-9</v>
      </c>
      <c r="J159" s="217">
        <v>-9</v>
      </c>
      <c r="K159" s="217">
        <v>-9</v>
      </c>
      <c r="L159" s="217">
        <v>-9</v>
      </c>
      <c r="M159" s="217">
        <v>-9</v>
      </c>
      <c r="N159" s="217">
        <v>-9</v>
      </c>
      <c r="O159" s="217">
        <v>-9</v>
      </c>
      <c r="P159" s="164"/>
      <c r="X159" s="346"/>
      <c r="Y159" s="238"/>
      <c r="Z159" s="238"/>
      <c r="AA159" s="238"/>
      <c r="AB159" s="151"/>
      <c r="AC159" s="151"/>
      <c r="AD159" s="151"/>
    </row>
    <row r="160" spans="1:30" ht="15.75">
      <c r="A160" s="210" t="s">
        <v>190</v>
      </c>
      <c r="B160" s="210"/>
      <c r="C160" s="174">
        <f>-2398/C7</f>
        <v>-78.985507246376812</v>
      </c>
      <c r="D160" s="174">
        <f>-3285/D7</f>
        <v>-111.73469387755102</v>
      </c>
      <c r="E160" s="174">
        <f>-2520/E7</f>
        <v>-81.125454721050772</v>
      </c>
      <c r="F160" s="174">
        <f>4336/F7</f>
        <v>136.07833291488828</v>
      </c>
      <c r="G160" s="174">
        <f>-4088/G7</f>
        <v>-105.82448873932177</v>
      </c>
      <c r="H160" s="174">
        <f>(44223-41292)/H7</f>
        <v>47.851498726572189</v>
      </c>
      <c r="I160" s="174">
        <f>(27803-26684)/I7</f>
        <v>16.70566895455207</v>
      </c>
      <c r="J160" s="174">
        <f>(24312-28321)/J7</f>
        <v>-68.979460157006116</v>
      </c>
      <c r="K160" s="175">
        <v>0</v>
      </c>
      <c r="L160" s="175">
        <f t="shared" ref="L160:O160" si="213">K160</f>
        <v>0</v>
      </c>
      <c r="M160" s="175">
        <f t="shared" ref="M160" si="214">L160</f>
        <v>0</v>
      </c>
      <c r="N160" s="175">
        <f t="shared" si="213"/>
        <v>0</v>
      </c>
      <c r="O160" s="175">
        <f t="shared" si="213"/>
        <v>0</v>
      </c>
      <c r="P160" s="164"/>
      <c r="Q160" s="403">
        <f>(18567-20421)/Q$7</f>
        <v>-31.96000689536287</v>
      </c>
      <c r="R160" s="208">
        <f>Q160/J160</f>
        <v>0.46332642822396386</v>
      </c>
      <c r="X160" s="347"/>
      <c r="Y160" s="279"/>
      <c r="Z160" s="279"/>
      <c r="AA160" s="238"/>
      <c r="AB160" s="151"/>
      <c r="AC160" s="151"/>
      <c r="AD160" s="151"/>
    </row>
    <row r="161" spans="1:30" ht="15.75">
      <c r="A161" s="225" t="s">
        <v>17</v>
      </c>
      <c r="B161" s="225"/>
      <c r="C161" s="269">
        <f>cover!G96</f>
        <v>270.2761093826756</v>
      </c>
      <c r="D161" s="269">
        <f>cover!H96</f>
        <v>380.49159925326694</v>
      </c>
      <c r="E161" s="269">
        <f>cover!I96</f>
        <v>565.43071654373023</v>
      </c>
      <c r="F161" s="269">
        <f>cover!J96</f>
        <v>264.52692424703383</v>
      </c>
      <c r="G161" s="269">
        <f>cover!K96</f>
        <v>270.25489708130397</v>
      </c>
      <c r="H161" s="269">
        <f>cover!L96</f>
        <v>163.56419287430347</v>
      </c>
      <c r="I161" s="269">
        <f>cover!M96</f>
        <v>182.53612728750846</v>
      </c>
      <c r="J161" s="269">
        <f>cover!N96</f>
        <v>183.64583333333331</v>
      </c>
      <c r="K161" s="241">
        <f>(J161*J8-K160*K7+(K133-K135)*K7)/K8</f>
        <v>164.3628592875335</v>
      </c>
      <c r="L161" s="241">
        <f>(K161*K8-L160*L7+(L133-L135)*L7)/L8</f>
        <v>142.30376028975201</v>
      </c>
      <c r="M161" s="241">
        <f>(L161*L8-M160*M7+(M133-M135)*M7)/M8</f>
        <v>118.16208472044309</v>
      </c>
      <c r="N161" s="241">
        <f>(M161*M8-N160*N7+(N133-N135)*N7)/N8</f>
        <v>89.567621986441964</v>
      </c>
      <c r="O161" s="241">
        <f>(N161*N8-O160*O7+(O133-O135)*O7)/O8</f>
        <v>60.177894084707646</v>
      </c>
      <c r="P161" s="164"/>
      <c r="X161" s="347"/>
      <c r="Y161" s="279"/>
      <c r="Z161" s="279"/>
      <c r="AA161" s="238"/>
      <c r="AB161" s="151"/>
      <c r="AC161" s="151"/>
      <c r="AD161" s="151"/>
    </row>
    <row r="162" spans="1:30" ht="15.75">
      <c r="A162" s="247" t="s">
        <v>183</v>
      </c>
      <c r="B162" s="247"/>
      <c r="C162" s="220">
        <f t="shared" ref="C162:N162" si="215">C161/C9</f>
        <v>0.18441998203933185</v>
      </c>
      <c r="D162" s="220">
        <f t="shared" si="215"/>
        <v>0.1771353720871239</v>
      </c>
      <c r="E162" s="220">
        <f t="shared" si="215"/>
        <v>0.25378165192385221</v>
      </c>
      <c r="F162" s="220">
        <f t="shared" si="215"/>
        <v>0.12782853719661333</v>
      </c>
      <c r="G162" s="220">
        <f t="shared" si="215"/>
        <v>0.14605818117813557</v>
      </c>
      <c r="H162" s="220">
        <f t="shared" si="215"/>
        <v>9.8557189083812932E-2</v>
      </c>
      <c r="I162" s="220">
        <f t="shared" si="215"/>
        <v>0.14289728212952879</v>
      </c>
      <c r="J162" s="220">
        <f t="shared" si="215"/>
        <v>0.1185365304640242</v>
      </c>
      <c r="K162" s="232">
        <f t="shared" si="215"/>
        <v>9.6859569336731927E-2</v>
      </c>
      <c r="L162" s="232">
        <f t="shared" si="215"/>
        <v>8.166124501266879E-2</v>
      </c>
      <c r="M162" s="232">
        <f t="shared" si="215"/>
        <v>6.2327543310193467E-2</v>
      </c>
      <c r="N162" s="232">
        <f t="shared" si="215"/>
        <v>4.2055038332727376E-2</v>
      </c>
      <c r="O162" s="232">
        <f t="shared" ref="O162" si="216">O161/O9</f>
        <v>2.7850381485704314E-2</v>
      </c>
      <c r="P162" s="164"/>
      <c r="X162" s="347"/>
      <c r="Y162" s="280"/>
      <c r="Z162" s="280"/>
      <c r="AA162" s="238"/>
      <c r="AB162" s="151"/>
      <c r="AC162" s="151"/>
      <c r="AD162" s="151"/>
    </row>
    <row r="163" spans="1:30" ht="15.75">
      <c r="A163" s="248" t="s">
        <v>8</v>
      </c>
      <c r="B163" s="248"/>
      <c r="C163" s="249">
        <f t="shared" ref="C163:O163" si="217">C129/C114</f>
        <v>0.36351951622909762</v>
      </c>
      <c r="D163" s="249">
        <f t="shared" si="217"/>
        <v>0.61669152077996092</v>
      </c>
      <c r="E163" s="249">
        <f t="shared" si="217"/>
        <v>0.3916867315669243</v>
      </c>
      <c r="F163" s="249">
        <f t="shared" si="217"/>
        <v>1.0855937271322278</v>
      </c>
      <c r="G163" s="249">
        <f t="shared" si="217"/>
        <v>0.91144691110163001</v>
      </c>
      <c r="H163" s="249">
        <f t="shared" si="217"/>
        <v>0.34600075737677755</v>
      </c>
      <c r="I163" s="249">
        <f t="shared" si="217"/>
        <v>1.239516592128765</v>
      </c>
      <c r="J163" s="249">
        <f t="shared" si="217"/>
        <v>1.2816402628326831</v>
      </c>
      <c r="K163" s="250">
        <f t="shared" si="217"/>
        <v>1.163917790634527</v>
      </c>
      <c r="L163" s="250">
        <f t="shared" si="217"/>
        <v>1.1293787374450306</v>
      </c>
      <c r="M163" s="250">
        <f t="shared" si="217"/>
        <v>0.88190723710733465</v>
      </c>
      <c r="N163" s="250">
        <f t="shared" si="217"/>
        <v>0.44367375860951952</v>
      </c>
      <c r="O163" s="250">
        <f t="shared" si="217"/>
        <v>0.17569425258631394</v>
      </c>
      <c r="P163" s="164"/>
      <c r="X163" s="347"/>
      <c r="Y163" s="280"/>
      <c r="Z163" s="279"/>
      <c r="AA163" s="238"/>
      <c r="AB163" s="151"/>
      <c r="AC163" s="151"/>
      <c r="AD163" s="151"/>
    </row>
    <row r="164" spans="1:30" ht="15.75">
      <c r="A164" s="251" t="s">
        <v>191</v>
      </c>
      <c r="B164" s="251"/>
      <c r="C164" s="174">
        <f>C138+C139+C141+C155+C160</f>
        <v>186.06719367588937</v>
      </c>
      <c r="D164" s="174">
        <f>D138+D139+D141+D155+D160</f>
        <v>310.88435374149657</v>
      </c>
      <c r="E164" s="174">
        <f>E138+E139+E141+E155+E160</f>
        <v>323.95454399124378</v>
      </c>
      <c r="F164" s="174">
        <f>F138+F139+F141+F155+F160</f>
        <v>373.24253075571187</v>
      </c>
      <c r="G164" s="174">
        <f>G115+G118+G121+G130+G135+G139+G155+G160+(3984-4115)/G7</f>
        <v>212.24436966088501</v>
      </c>
      <c r="H164" s="174">
        <f>H115+H118+H121+H130+H135+H139+H155+H160</f>
        <v>540.03284790700695</v>
      </c>
      <c r="I164" s="174">
        <f t="shared" ref="I164:N164" si="218">I138+I139+I141+I155+I160</f>
        <v>291.43039117988457</v>
      </c>
      <c r="J164" s="174">
        <f t="shared" si="218"/>
        <v>272.88977309388099</v>
      </c>
      <c r="K164" s="175">
        <f t="shared" si="218"/>
        <v>449.38163862982577</v>
      </c>
      <c r="L164" s="175">
        <f t="shared" si="218"/>
        <v>469.14907079636453</v>
      </c>
      <c r="M164" s="175">
        <f t="shared" si="218"/>
        <v>534.38572422657012</v>
      </c>
      <c r="N164" s="175">
        <f t="shared" si="218"/>
        <v>644.87308297737957</v>
      </c>
      <c r="O164" s="175">
        <f t="shared" ref="O164" si="219">O138+O139+O141+O155+O160</f>
        <v>664.85892090201764</v>
      </c>
      <c r="P164" s="164"/>
      <c r="Q164" s="175">
        <f>Q138+Q139+Q141+Q155+Q160</f>
        <v>208.55631524370574</v>
      </c>
      <c r="R164" s="208">
        <f>Q164/J164</f>
        <v>0.76425112190612243</v>
      </c>
      <c r="X164" s="347"/>
      <c r="Y164" s="280"/>
      <c r="Z164" s="280"/>
      <c r="AA164" s="238"/>
      <c r="AB164" s="151"/>
      <c r="AC164" s="151"/>
      <c r="AD164" s="151"/>
    </row>
    <row r="165" spans="1:30" ht="15.75">
      <c r="A165" s="248" t="s">
        <v>192</v>
      </c>
      <c r="B165" s="319"/>
      <c r="C165" s="240">
        <f t="shared" ref="C165:N165" si="220">C4</f>
        <v>1573.8792885375494</v>
      </c>
      <c r="D165" s="240">
        <f t="shared" si="220"/>
        <v>2089.1710476190478</v>
      </c>
      <c r="E165" s="240">
        <f t="shared" si="220"/>
        <v>2009.5634162830379</v>
      </c>
      <c r="F165" s="240">
        <f t="shared" si="220"/>
        <v>1677.0988743535138</v>
      </c>
      <c r="G165" s="240">
        <f t="shared" si="220"/>
        <v>1824.03</v>
      </c>
      <c r="H165" s="240">
        <f t="shared" si="220"/>
        <v>1884.4754385964911</v>
      </c>
      <c r="I165" s="240">
        <f t="shared" si="220"/>
        <v>2336.31931248</v>
      </c>
      <c r="J165" s="240">
        <f t="shared" si="220"/>
        <v>2710.8324249919347</v>
      </c>
      <c r="K165" s="241">
        <f t="shared" si="220"/>
        <v>2818.2469689655172</v>
      </c>
      <c r="L165" s="241">
        <f t="shared" si="220"/>
        <v>2818.2469689655172</v>
      </c>
      <c r="M165" s="241">
        <f t="shared" si="220"/>
        <v>2818.2469689655172</v>
      </c>
      <c r="N165" s="241">
        <f t="shared" si="220"/>
        <v>2818.2469689655172</v>
      </c>
      <c r="O165" s="241">
        <f t="shared" ref="O165" si="221">O4</f>
        <v>2818.2469689655172</v>
      </c>
      <c r="P165" s="164"/>
      <c r="X165" s="347"/>
      <c r="Y165" s="279"/>
      <c r="Z165" s="279"/>
      <c r="AA165" s="238"/>
      <c r="AB165" s="151"/>
      <c r="AC165" s="151"/>
      <c r="AD165" s="151"/>
    </row>
    <row r="166" spans="1:30" ht="16.5">
      <c r="A166" s="252" t="s">
        <v>193</v>
      </c>
      <c r="B166" s="252"/>
      <c r="C166" s="253">
        <f>C164/C165</f>
        <v>0.1182220231443437</v>
      </c>
      <c r="D166" s="253">
        <f t="shared" ref="D166:J166" si="222">D164/D165</f>
        <v>0.14880751583064494</v>
      </c>
      <c r="E166" s="253">
        <f t="shared" si="222"/>
        <v>0.16120642989731668</v>
      </c>
      <c r="F166" s="253">
        <f>F164/F165</f>
        <v>0.22255249017419382</v>
      </c>
      <c r="G166" s="253">
        <f t="shared" si="222"/>
        <v>0.11636013095227875</v>
      </c>
      <c r="H166" s="253">
        <f>H164/H165</f>
        <v>0.28656932154510306</v>
      </c>
      <c r="I166" s="253">
        <f t="shared" si="222"/>
        <v>0.12473910977114322</v>
      </c>
      <c r="J166" s="253">
        <f t="shared" si="222"/>
        <v>0.10066641175530903</v>
      </c>
      <c r="K166" s="254">
        <f>K164/K165</f>
        <v>0.15945431453609565</v>
      </c>
      <c r="L166" s="254">
        <f t="shared" ref="L166:N166" si="223">L164/L165</f>
        <v>0.16646840250788</v>
      </c>
      <c r="M166" s="254">
        <f>M164/M165</f>
        <v>0.1896163572998448</v>
      </c>
      <c r="N166" s="254">
        <f t="shared" si="223"/>
        <v>0.22882064278919126</v>
      </c>
      <c r="O166" s="254">
        <f t="shared" ref="O166" si="224">O164/O165</f>
        <v>0.23591222778678789</v>
      </c>
      <c r="P166" s="164"/>
      <c r="X166" s="347"/>
      <c r="Y166" s="280"/>
      <c r="Z166" s="279"/>
      <c r="AA166" s="238"/>
      <c r="AB166" s="151"/>
      <c r="AC166" s="151"/>
      <c r="AD166" s="151"/>
    </row>
    <row r="167" spans="1:30" ht="15.75">
      <c r="A167" s="165" t="s">
        <v>212</v>
      </c>
      <c r="B167" s="165"/>
      <c r="C167" s="215">
        <f t="shared" ref="C167:I167" si="225">-C168*C5</f>
        <v>-274.12259863945582</v>
      </c>
      <c r="D167" s="215">
        <f t="shared" si="225"/>
        <v>-70.618729678395525</v>
      </c>
      <c r="E167" s="215">
        <f t="shared" si="225"/>
        <v>-95.782274667336182</v>
      </c>
      <c r="F167" s="216">
        <f t="shared" si="225"/>
        <v>-159.4917939425317</v>
      </c>
      <c r="G167" s="216">
        <f t="shared" si="225"/>
        <v>-106.30615094339623</v>
      </c>
      <c r="H167" s="216">
        <f t="shared" si="225"/>
        <v>-119.11643701430157</v>
      </c>
      <c r="I167" s="216">
        <f>-I168*I5</f>
        <v>-168.67708474576273</v>
      </c>
      <c r="J167" s="216">
        <f>-J168*J5</f>
        <v>-235.16471286805032</v>
      </c>
      <c r="K167" s="217">
        <f t="shared" ref="J167:N167" si="226">-K168*K5</f>
        <v>-247.15990124640419</v>
      </c>
      <c r="L167" s="217">
        <f t="shared" si="226"/>
        <v>-258.0319889380005</v>
      </c>
      <c r="M167" s="217">
        <f t="shared" si="226"/>
        <v>-374.07000695859909</v>
      </c>
      <c r="N167" s="217">
        <f t="shared" si="226"/>
        <v>-451.41115808416566</v>
      </c>
      <c r="O167" s="217">
        <f t="shared" ref="O167" si="227">-O168*O5</f>
        <v>-465.40124463141234</v>
      </c>
      <c r="P167" s="164"/>
      <c r="X167" s="347"/>
      <c r="Y167" s="280"/>
      <c r="Z167" s="280"/>
      <c r="AA167" s="238"/>
      <c r="AB167" s="151"/>
      <c r="AC167" s="151"/>
      <c r="AD167" s="151"/>
    </row>
    <row r="168" spans="1:30" ht="15.75">
      <c r="A168" s="255" t="s">
        <v>216</v>
      </c>
      <c r="B168" s="255"/>
      <c r="C168" s="256">
        <f>(40+129)/D7</f>
        <v>5.7482993197278915</v>
      </c>
      <c r="D168" s="256">
        <f>46/E7</f>
        <v>1.4808614750667999</v>
      </c>
      <c r="E168" s="256">
        <f>64/F7</f>
        <v>2.0085362791865427</v>
      </c>
      <c r="F168" s="256">
        <f>152/G7</f>
        <v>3.9347657261195961</v>
      </c>
      <c r="G168" s="256">
        <f>139/53</f>
        <v>2.6226415094339623</v>
      </c>
      <c r="H168" s="256">
        <f>180/H7</f>
        <v>2.938679553320708</v>
      </c>
      <c r="I168" s="256">
        <f>(155+95)/59</f>
        <v>4.2372881355932206</v>
      </c>
      <c r="J168" s="256">
        <f>(235+112)/J7</f>
        <v>5.9705344660716202</v>
      </c>
      <c r="K168" s="257">
        <f t="shared" ref="J168:N168" si="228">K164/K5*K169</f>
        <v>6.2750771194592811</v>
      </c>
      <c r="L168" s="257">
        <f t="shared" si="228"/>
        <v>6.5511056676592432</v>
      </c>
      <c r="M168" s="257">
        <f t="shared" si="228"/>
        <v>9.4971641026905012</v>
      </c>
      <c r="N168" s="257">
        <f t="shared" si="228"/>
        <v>11.460758056941387</v>
      </c>
      <c r="O168" s="257">
        <f t="shared" ref="O168" si="229">O164/O5*O169</f>
        <v>11.815948650355496</v>
      </c>
      <c r="P168" s="164"/>
      <c r="X168" s="346"/>
      <c r="Y168" s="238"/>
      <c r="Z168" s="238"/>
      <c r="AA168" s="238"/>
      <c r="AB168" s="151"/>
      <c r="AC168" s="151"/>
      <c r="AD168" s="151"/>
    </row>
    <row r="169" spans="1:30" ht="15.75">
      <c r="A169" s="258" t="s">
        <v>96</v>
      </c>
      <c r="B169" s="258"/>
      <c r="C169" s="178">
        <f t="shared" ref="C169:H169" si="230">C168*C5/C137</f>
        <v>1.3254279494655006</v>
      </c>
      <c r="D169" s="178">
        <f t="shared" si="230"/>
        <v>0.1021345263943737</v>
      </c>
      <c r="E169" s="178">
        <f t="shared" si="230"/>
        <v>0.23654673223020051</v>
      </c>
      <c r="F169" s="178">
        <f t="shared" si="230"/>
        <v>0.47288048033728758</v>
      </c>
      <c r="G169" s="178">
        <f t="shared" si="230"/>
        <v>0.82428876173091203</v>
      </c>
      <c r="H169" s="178">
        <f t="shared" si="230"/>
        <v>0.46000378286362775</v>
      </c>
      <c r="I169" s="178">
        <f>I168*I5/I137</f>
        <v>0.4354132851669279</v>
      </c>
      <c r="J169" s="178">
        <f>J168*J5/J137</f>
        <v>0.9584487486676021</v>
      </c>
      <c r="K169" s="179">
        <v>0.55000000000000004</v>
      </c>
      <c r="L169" s="179">
        <f t="shared" ref="L169" si="231">K169</f>
        <v>0.55000000000000004</v>
      </c>
      <c r="M169" s="179">
        <v>0.7</v>
      </c>
      <c r="N169" s="179">
        <v>0.7</v>
      </c>
      <c r="O169" s="179">
        <v>0.7</v>
      </c>
      <c r="P169" s="164"/>
      <c r="X169" s="346"/>
      <c r="Y169" s="259"/>
      <c r="Z169" s="259"/>
      <c r="AA169" s="238"/>
      <c r="AB169" s="151"/>
      <c r="AC169" s="151"/>
      <c r="AD169" s="151"/>
    </row>
    <row r="170" spans="1:30" ht="15.75">
      <c r="A170" s="258" t="s">
        <v>194</v>
      </c>
      <c r="B170" s="258"/>
      <c r="C170" s="178">
        <f t="shared" ref="C170:O170" si="232">C168/C6</f>
        <v>0.17417002729235409</v>
      </c>
      <c r="D170" s="178">
        <f t="shared" si="232"/>
        <v>3.3802272800437821E-2</v>
      </c>
      <c r="E170" s="178">
        <f t="shared" si="232"/>
        <v>4.7663225699290733E-2</v>
      </c>
      <c r="F170" s="178">
        <f t="shared" si="232"/>
        <v>9.5099815748199354E-2</v>
      </c>
      <c r="G170" s="178">
        <f t="shared" si="232"/>
        <v>5.8280922431865827E-2</v>
      </c>
      <c r="H170" s="178">
        <f t="shared" si="232"/>
        <v>6.3209333788407679E-2</v>
      </c>
      <c r="I170" s="178">
        <f t="shared" si="232"/>
        <v>7.2197787282215375E-2</v>
      </c>
      <c r="J170" s="178">
        <f t="shared" si="232"/>
        <v>8.6749999999999994E-2</v>
      </c>
      <c r="K170" s="179">
        <f t="shared" si="232"/>
        <v>8.7699872994852601E-2</v>
      </c>
      <c r="L170" s="179">
        <f t="shared" si="232"/>
        <v>9.1557621379334E-2</v>
      </c>
      <c r="M170" s="179">
        <f t="shared" si="232"/>
        <v>0.13273145010989135</v>
      </c>
      <c r="N170" s="179">
        <f t="shared" si="232"/>
        <v>0.16017444995243385</v>
      </c>
      <c r="O170" s="179">
        <f t="shared" si="232"/>
        <v>0.16513855945075151</v>
      </c>
      <c r="P170" s="164"/>
      <c r="X170" s="346"/>
      <c r="Y170" s="259"/>
      <c r="Z170" s="259"/>
      <c r="AA170" s="238"/>
      <c r="AB170" s="151"/>
      <c r="AC170" s="151"/>
      <c r="AD170" s="151"/>
    </row>
    <row r="171" spans="1:30" ht="15.75">
      <c r="A171" s="258"/>
      <c r="B171" s="258"/>
      <c r="C171" s="178"/>
      <c r="D171" s="178"/>
      <c r="E171" s="178"/>
      <c r="F171" s="178"/>
      <c r="G171" s="178"/>
      <c r="H171" s="178"/>
      <c r="I171" s="179"/>
      <c r="J171" s="179"/>
      <c r="K171" s="179"/>
      <c r="L171" s="179"/>
      <c r="M171" s="179"/>
      <c r="N171" s="179"/>
      <c r="O171" s="179"/>
      <c r="P171" s="164"/>
      <c r="X171" s="346"/>
      <c r="Y171" s="259"/>
      <c r="Z171" s="259"/>
      <c r="AA171" s="238"/>
      <c r="AB171" s="151"/>
      <c r="AC171" s="151"/>
      <c r="AD171" s="151"/>
    </row>
    <row r="172" spans="1:30" ht="15.75">
      <c r="A172" s="258"/>
      <c r="B172" s="258"/>
      <c r="C172" s="178"/>
      <c r="D172" s="178"/>
      <c r="E172" s="178"/>
      <c r="F172" s="178"/>
      <c r="G172" s="178"/>
      <c r="H172" s="178"/>
      <c r="I172" s="179"/>
      <c r="J172" s="217"/>
      <c r="K172" s="179"/>
      <c r="L172" s="179"/>
      <c r="M172" s="179"/>
      <c r="N172" s="179"/>
      <c r="O172" s="179"/>
      <c r="P172" s="164"/>
      <c r="R172" s="346"/>
      <c r="S172" s="346"/>
      <c r="T172" s="346"/>
      <c r="U172" s="259"/>
      <c r="V172" s="259"/>
      <c r="W172" s="238"/>
      <c r="X172" s="151"/>
      <c r="Y172" s="151"/>
      <c r="Z172" s="151"/>
      <c r="AA172" s="151"/>
      <c r="AB172" s="151"/>
      <c r="AC172" s="151"/>
    </row>
    <row r="173" spans="1:30" ht="15.75">
      <c r="A173" s="210" t="s">
        <v>10</v>
      </c>
      <c r="B173" s="174">
        <v>169</v>
      </c>
      <c r="C173" s="174">
        <v>289.52569169960475</v>
      </c>
      <c r="D173" s="174">
        <v>623.36734693877543</v>
      </c>
      <c r="E173" s="174">
        <v>593.7932588610247</v>
      </c>
      <c r="F173" s="174">
        <v>409.42756716043186</v>
      </c>
      <c r="G173" s="174">
        <v>431.47812580895652</v>
      </c>
      <c r="H173" s="174">
        <v>589.30320642591255</v>
      </c>
      <c r="I173" s="175">
        <v>467.30631544189464</v>
      </c>
      <c r="J173" s="175">
        <v>531.15952186142545</v>
      </c>
      <c r="K173" s="175">
        <v>536.7262633319574</v>
      </c>
      <c r="L173" s="175">
        <v>553.43122752207091</v>
      </c>
      <c r="M173" s="175">
        <v>572.83953462572481</v>
      </c>
      <c r="N173" s="175">
        <v>592.24784172937905</v>
      </c>
      <c r="O173" s="175">
        <v>593.24784172937905</v>
      </c>
      <c r="R173" s="346"/>
      <c r="S173" s="346"/>
      <c r="T173" s="346"/>
      <c r="U173" s="259"/>
      <c r="V173" s="259"/>
      <c r="W173" s="2"/>
    </row>
    <row r="174" spans="1:30" ht="15.75">
      <c r="A174" s="210" t="s">
        <v>265</v>
      </c>
      <c r="B174" s="282">
        <f>B173/1182</f>
        <v>0.14297800338409475</v>
      </c>
      <c r="C174" s="282">
        <v>0.19755472647997482</v>
      </c>
      <c r="D174" s="282">
        <v>0.29020458576133767</v>
      </c>
      <c r="E174" s="282">
        <v>0.26651158086376059</v>
      </c>
      <c r="F174" s="282">
        <v>0.1978495275936851</v>
      </c>
      <c r="G174" s="282">
        <v>0.23319063208259874</v>
      </c>
      <c r="H174" s="282">
        <v>0.35509035640856634</v>
      </c>
      <c r="I174" s="282">
        <v>0.30921934832439196</v>
      </c>
      <c r="J174" s="282">
        <v>0.30461133309485539</v>
      </c>
      <c r="K174" s="282">
        <v>0.30120545698806428</v>
      </c>
      <c r="L174" s="282">
        <v>0.308076490601839</v>
      </c>
      <c r="M174" s="282">
        <v>0.31647462868865511</v>
      </c>
      <c r="N174" s="282">
        <v>0.324872766775471</v>
      </c>
      <c r="O174" s="282">
        <v>1.3248727667754701</v>
      </c>
      <c r="R174" s="346"/>
      <c r="S174" s="346"/>
      <c r="T174" s="346"/>
      <c r="U174" s="259"/>
      <c r="V174" s="259"/>
      <c r="W174" s="2"/>
    </row>
    <row r="175" spans="1:30" ht="15.75">
      <c r="A175" s="1" t="s">
        <v>263</v>
      </c>
      <c r="B175" s="283">
        <f>AVERAGE(B174:H174)</f>
        <v>0.24048277322485972</v>
      </c>
      <c r="C175" s="283">
        <f t="shared" ref="C175" si="233">B175</f>
        <v>0.24048277322485972</v>
      </c>
      <c r="D175" s="283">
        <f t="shared" ref="D175" si="234">C175</f>
        <v>0.24048277322485972</v>
      </c>
      <c r="E175" s="283">
        <f t="shared" ref="E175:O175" si="235">D175</f>
        <v>0.24048277322485972</v>
      </c>
      <c r="F175" s="283">
        <f t="shared" si="235"/>
        <v>0.24048277322485972</v>
      </c>
      <c r="G175" s="283">
        <f t="shared" si="235"/>
        <v>0.24048277322485972</v>
      </c>
      <c r="H175" s="283">
        <f t="shared" si="235"/>
        <v>0.24048277322485972</v>
      </c>
      <c r="I175" s="283">
        <f t="shared" si="235"/>
        <v>0.24048277322485972</v>
      </c>
      <c r="J175" s="283">
        <f t="shared" si="235"/>
        <v>0.24048277322485972</v>
      </c>
      <c r="K175" s="283">
        <f t="shared" si="235"/>
        <v>0.24048277322485972</v>
      </c>
      <c r="L175" s="283">
        <f t="shared" si="235"/>
        <v>0.24048277322485972</v>
      </c>
      <c r="M175" s="283">
        <f t="shared" si="235"/>
        <v>0.24048277322485972</v>
      </c>
      <c r="N175" s="283">
        <f t="shared" si="235"/>
        <v>0.24048277322485972</v>
      </c>
      <c r="O175" s="283">
        <f t="shared" si="235"/>
        <v>0.24048277322485972</v>
      </c>
      <c r="R175" s="346"/>
      <c r="S175" s="346"/>
      <c r="T175" s="346"/>
      <c r="U175" s="259"/>
      <c r="V175" s="259"/>
      <c r="W175" s="2"/>
    </row>
    <row r="176" spans="1:30" ht="15.75">
      <c r="I176" s="175">
        <v>417</v>
      </c>
      <c r="J176" s="175">
        <v>414</v>
      </c>
      <c r="K176" s="175">
        <v>403</v>
      </c>
      <c r="L176" s="175">
        <v>416</v>
      </c>
      <c r="M176" s="175">
        <v>432</v>
      </c>
      <c r="N176" s="175">
        <v>448</v>
      </c>
      <c r="O176" s="175">
        <v>449</v>
      </c>
      <c r="R176" s="346"/>
      <c r="S176" s="346"/>
      <c r="T176" s="346"/>
      <c r="U176" s="259"/>
      <c r="V176" s="259"/>
      <c r="W176" s="2"/>
    </row>
    <row r="177" spans="1:28" ht="15.75">
      <c r="A177" s="1" t="s">
        <v>264</v>
      </c>
      <c r="H177" s="284">
        <f>H174</f>
        <v>0.35509035640856634</v>
      </c>
      <c r="I177" s="282">
        <v>0.3</v>
      </c>
      <c r="J177" s="282">
        <v>0.28000000000000003</v>
      </c>
      <c r="K177" s="282">
        <v>0.26</v>
      </c>
      <c r="L177" s="282">
        <v>0.27</v>
      </c>
      <c r="M177" s="282">
        <v>0.28000000000000003</v>
      </c>
      <c r="N177" s="282">
        <v>0.28999999999999998</v>
      </c>
      <c r="O177" s="282">
        <v>1.29</v>
      </c>
      <c r="R177" s="346"/>
      <c r="S177" s="346"/>
      <c r="T177" s="346"/>
      <c r="U177" s="2"/>
      <c r="V177" s="2"/>
      <c r="W177" s="2"/>
    </row>
    <row r="178" spans="1:28" ht="15.75">
      <c r="G178" s="175">
        <f>G173</f>
        <v>431.47812580895652</v>
      </c>
      <c r="H178" s="175">
        <f t="shared" ref="H178:M178" si="236">H173-250</f>
        <v>339.30320642591255</v>
      </c>
      <c r="I178" s="175">
        <f t="shared" si="236"/>
        <v>217.30631544189464</v>
      </c>
      <c r="J178" s="175">
        <f t="shared" si="236"/>
        <v>281.15952186142545</v>
      </c>
      <c r="K178" s="175">
        <f t="shared" si="236"/>
        <v>286.7262633319574</v>
      </c>
      <c r="L178" s="175">
        <f t="shared" si="236"/>
        <v>303.43122752207091</v>
      </c>
      <c r="M178" s="175">
        <f t="shared" si="236"/>
        <v>322.83953462572481</v>
      </c>
      <c r="N178" s="175">
        <f t="shared" ref="N178:O178" si="237">N173-250</f>
        <v>342.24784172937905</v>
      </c>
      <c r="O178" s="175">
        <f t="shared" si="237"/>
        <v>343.24784172937905</v>
      </c>
      <c r="R178" s="346"/>
      <c r="S178" s="346"/>
      <c r="T178" s="346"/>
      <c r="U178" s="2"/>
      <c r="V178" s="2"/>
      <c r="W178" s="2"/>
    </row>
    <row r="179" spans="1:28" ht="33.75">
      <c r="A179" s="1" t="s">
        <v>266</v>
      </c>
      <c r="G179" s="282">
        <f>178:178/9:9</f>
        <v>0.23319063208259874</v>
      </c>
      <c r="H179" s="282">
        <f>178:178/9:9</f>
        <v>0.20445043432067914</v>
      </c>
      <c r="I179" s="282">
        <f>178:178/9:9</f>
        <v>0.17011690960945361</v>
      </c>
      <c r="J179" s="282">
        <f>178:178/9:9</f>
        <v>0.18147797651300196</v>
      </c>
      <c r="K179" s="282">
        <f>178:178/9:9</f>
        <v>0.16896872264359686</v>
      </c>
      <c r="L179" s="282">
        <f>178:178/9:9</f>
        <v>0.17412450496544687</v>
      </c>
      <c r="M179" s="282">
        <f>178:178/9:9</f>
        <v>0.17028977716695884</v>
      </c>
      <c r="N179" s="282">
        <f>178:178/9:9</f>
        <v>0.16069697714427414</v>
      </c>
      <c r="O179" s="282">
        <f>178:178/9:9</f>
        <v>0.15885539834364421</v>
      </c>
      <c r="R179" s="346"/>
      <c r="S179" s="346"/>
      <c r="T179" s="346"/>
      <c r="U179" s="2"/>
      <c r="V179" s="2"/>
      <c r="W179" s="2"/>
      <c r="AA179" s="325" t="s">
        <v>274</v>
      </c>
      <c r="AB179" s="326" t="s">
        <v>196</v>
      </c>
    </row>
    <row r="180" spans="1:28" ht="15.75">
      <c r="G180" s="363"/>
      <c r="H180" s="364"/>
      <c r="I180" s="364">
        <f t="shared" ref="I180" si="238">I114*I7</f>
        <v>30499.999999999996</v>
      </c>
      <c r="J180" s="364">
        <f>J114*J7</f>
        <v>29540.999999999993</v>
      </c>
      <c r="K180" s="363"/>
      <c r="L180" s="363"/>
      <c r="M180" s="363"/>
      <c r="N180" s="363"/>
      <c r="O180" s="363"/>
      <c r="R180" s="346"/>
      <c r="S180" s="346"/>
      <c r="T180" s="346"/>
      <c r="U180" s="2"/>
      <c r="V180" s="2"/>
      <c r="W180" s="2"/>
      <c r="AA180" s="325"/>
      <c r="AB180" s="326"/>
    </row>
    <row r="181" spans="1:28" ht="15.75">
      <c r="G181" s="363"/>
      <c r="H181" s="363"/>
      <c r="I181" s="363"/>
      <c r="J181" s="363"/>
      <c r="K181" s="363"/>
      <c r="L181" s="363"/>
      <c r="M181" s="363"/>
      <c r="N181" s="363"/>
      <c r="O181" s="363"/>
      <c r="R181" s="346"/>
      <c r="S181" s="346"/>
      <c r="T181" s="346"/>
      <c r="U181" s="2"/>
      <c r="V181" s="2"/>
      <c r="W181" s="2"/>
      <c r="AA181" s="325"/>
      <c r="AB181" s="326"/>
    </row>
    <row r="182" spans="1:28" ht="15.75">
      <c r="G182" s="363"/>
      <c r="H182" s="363"/>
      <c r="I182" s="363"/>
      <c r="J182" s="363"/>
      <c r="K182" s="363"/>
      <c r="L182" s="363"/>
      <c r="M182" s="363"/>
      <c r="N182" s="363"/>
      <c r="O182" s="363"/>
      <c r="R182" s="346"/>
      <c r="S182" s="346"/>
      <c r="T182" s="346"/>
      <c r="U182" s="2"/>
      <c r="V182" s="2"/>
      <c r="W182" s="2"/>
      <c r="AA182" s="325"/>
      <c r="AB182" s="326"/>
    </row>
    <row r="183" spans="1:28" ht="15.75">
      <c r="C183" s="261">
        <f>-44250/I8</f>
        <v>-734.15957393857946</v>
      </c>
      <c r="R183" s="348"/>
      <c r="S183" s="348"/>
      <c r="T183" s="348"/>
      <c r="U183" s="281"/>
      <c r="V183" s="281"/>
      <c r="W183" s="2"/>
      <c r="Z183" s="322">
        <v>36657</v>
      </c>
      <c r="AA183" s="323">
        <v>85.5</v>
      </c>
      <c r="AB183" s="323">
        <v>51.5</v>
      </c>
    </row>
    <row r="184" spans="1:28" ht="15.75">
      <c r="C184" s="261">
        <f>C183*40%</f>
        <v>-293.66382957543181</v>
      </c>
      <c r="R184" s="348"/>
      <c r="S184" s="348"/>
      <c r="T184" s="348"/>
      <c r="U184" s="281"/>
      <c r="V184" s="281"/>
      <c r="W184" s="2"/>
      <c r="Z184" s="322">
        <v>36664</v>
      </c>
      <c r="AA184" s="323">
        <v>86.5</v>
      </c>
      <c r="AB184" s="323">
        <v>51.5</v>
      </c>
    </row>
    <row r="185" spans="1:28" ht="15.75">
      <c r="R185" s="348"/>
      <c r="S185" s="348"/>
      <c r="T185" s="348"/>
      <c r="U185" s="281"/>
      <c r="V185" s="281"/>
      <c r="W185" s="2"/>
      <c r="Z185" s="322">
        <v>36671</v>
      </c>
      <c r="AA185" s="323">
        <v>94</v>
      </c>
      <c r="AB185" s="323">
        <v>51.5</v>
      </c>
    </row>
    <row r="186" spans="1:28" ht="33.75">
      <c r="A186" s="262" t="s">
        <v>82</v>
      </c>
      <c r="B186" s="262"/>
      <c r="C186" s="263" t="s">
        <v>195</v>
      </c>
      <c r="D186" s="263" t="s">
        <v>196</v>
      </c>
      <c r="E186" s="263" t="s">
        <v>197</v>
      </c>
      <c r="F186" s="1"/>
      <c r="R186" s="348"/>
      <c r="S186" s="348"/>
      <c r="T186" s="348"/>
      <c r="U186" s="281"/>
      <c r="V186" s="281"/>
      <c r="W186" s="2"/>
      <c r="Z186" s="322">
        <v>36678</v>
      </c>
      <c r="AA186" s="323">
        <v>98.5</v>
      </c>
      <c r="AB186" s="323">
        <v>51</v>
      </c>
    </row>
    <row r="187" spans="1:28" ht="15.75">
      <c r="A187" s="263"/>
      <c r="B187" s="263"/>
      <c r="C187" s="263" t="s">
        <v>198</v>
      </c>
      <c r="D187" s="263" t="s">
        <v>198</v>
      </c>
      <c r="E187" s="263" t="s">
        <v>198</v>
      </c>
      <c r="F187" s="1"/>
      <c r="R187" s="348"/>
      <c r="S187" s="348"/>
      <c r="T187" s="348"/>
      <c r="U187" s="281"/>
      <c r="V187" s="281"/>
      <c r="W187" s="2"/>
      <c r="Z187" s="322">
        <v>36685</v>
      </c>
      <c r="AA187" s="323">
        <v>105.5</v>
      </c>
      <c r="AB187" s="323">
        <v>52</v>
      </c>
    </row>
    <row r="188" spans="1:28">
      <c r="A188" s="264">
        <v>36664</v>
      </c>
      <c r="B188" s="264">
        <v>36664</v>
      </c>
      <c r="C188" s="265">
        <v>86.5</v>
      </c>
      <c r="D188" s="265">
        <v>51.5</v>
      </c>
      <c r="E188" s="265"/>
      <c r="F188" s="1"/>
      <c r="R188" s="349"/>
      <c r="S188" s="349"/>
      <c r="T188" s="349"/>
      <c r="U188" s="2"/>
      <c r="V188" s="2"/>
      <c r="W188" s="2"/>
      <c r="Z188" s="322">
        <v>36692</v>
      </c>
      <c r="AA188" s="323">
        <v>105.5</v>
      </c>
      <c r="AB188" s="323">
        <v>55</v>
      </c>
    </row>
    <row r="189" spans="1:28">
      <c r="A189" s="264">
        <v>36671</v>
      </c>
      <c r="B189" s="264">
        <v>36671</v>
      </c>
      <c r="C189" s="265">
        <v>94</v>
      </c>
      <c r="D189" s="265">
        <v>51.5</v>
      </c>
      <c r="E189" s="265"/>
      <c r="F189" s="1"/>
      <c r="R189" s="349"/>
      <c r="S189" s="349"/>
      <c r="T189" s="349"/>
      <c r="U189" s="2"/>
      <c r="V189" s="2"/>
      <c r="W189" s="2"/>
      <c r="Z189" s="322">
        <v>36699</v>
      </c>
      <c r="AA189" s="323">
        <v>108</v>
      </c>
      <c r="AB189" s="323">
        <v>54.5</v>
      </c>
    </row>
    <row r="190" spans="1:28">
      <c r="A190" s="264">
        <v>36678</v>
      </c>
      <c r="B190" s="264">
        <v>36678</v>
      </c>
      <c r="C190" s="265">
        <v>98.5</v>
      </c>
      <c r="D190" s="265">
        <v>51.5</v>
      </c>
      <c r="E190" s="265"/>
      <c r="F190" s="1"/>
      <c r="R190" s="349"/>
      <c r="S190" s="349"/>
      <c r="T190" s="349"/>
      <c r="U190" s="281"/>
      <c r="V190" s="281"/>
      <c r="W190" s="2"/>
      <c r="Z190" s="322">
        <v>36706</v>
      </c>
      <c r="AA190" s="323">
        <v>109.5</v>
      </c>
      <c r="AB190" s="323">
        <v>52.5</v>
      </c>
    </row>
    <row r="191" spans="1:28">
      <c r="A191" s="264">
        <v>36685</v>
      </c>
      <c r="B191" s="264">
        <v>36685</v>
      </c>
      <c r="C191" s="265">
        <v>105.5</v>
      </c>
      <c r="D191" s="265">
        <v>51</v>
      </c>
      <c r="E191" s="265"/>
      <c r="F191" s="1"/>
      <c r="Z191" s="322">
        <v>36713</v>
      </c>
      <c r="AA191" s="323">
        <v>110.5</v>
      </c>
      <c r="AB191" s="323">
        <v>58.5</v>
      </c>
    </row>
    <row r="192" spans="1:28">
      <c r="A192" s="264">
        <v>36692</v>
      </c>
      <c r="B192" s="264">
        <v>36692</v>
      </c>
      <c r="C192" s="265">
        <v>105.5</v>
      </c>
      <c r="D192" s="265">
        <v>52</v>
      </c>
      <c r="E192" s="265"/>
      <c r="F192" s="1"/>
      <c r="Z192" s="322">
        <v>36720</v>
      </c>
      <c r="AA192" s="323">
        <v>112.5</v>
      </c>
      <c r="AB192" s="323">
        <v>63.5</v>
      </c>
    </row>
    <row r="193" spans="1:28">
      <c r="A193" s="264">
        <v>36699</v>
      </c>
      <c r="B193" s="264">
        <v>36699</v>
      </c>
      <c r="C193" s="265">
        <v>108</v>
      </c>
      <c r="D193" s="265">
        <v>55</v>
      </c>
      <c r="E193" s="265"/>
      <c r="F193" s="1"/>
      <c r="Z193" s="322">
        <v>36727</v>
      </c>
      <c r="AA193" s="323">
        <v>121.5</v>
      </c>
      <c r="AB193" s="323">
        <v>70</v>
      </c>
    </row>
    <row r="194" spans="1:28">
      <c r="A194" s="264">
        <v>36706</v>
      </c>
      <c r="B194" s="264">
        <v>36706</v>
      </c>
      <c r="C194" s="265">
        <v>109.5</v>
      </c>
      <c r="D194" s="265">
        <v>54.5</v>
      </c>
      <c r="E194" s="265"/>
      <c r="F194" s="1"/>
      <c r="Z194" s="322">
        <v>36734</v>
      </c>
      <c r="AA194" s="323">
        <v>132</v>
      </c>
      <c r="AB194" s="323">
        <v>71</v>
      </c>
    </row>
    <row r="195" spans="1:28">
      <c r="A195" s="264">
        <v>36713</v>
      </c>
      <c r="B195" s="264">
        <v>36713</v>
      </c>
      <c r="C195" s="265">
        <v>110.5</v>
      </c>
      <c r="D195" s="265">
        <v>52.5</v>
      </c>
      <c r="E195" s="265"/>
      <c r="F195" s="1"/>
      <c r="Z195" s="322">
        <v>36741</v>
      </c>
      <c r="AA195" s="323">
        <v>134.75</v>
      </c>
      <c r="AB195" s="323">
        <v>72</v>
      </c>
    </row>
    <row r="196" spans="1:28">
      <c r="A196" s="264">
        <v>36720</v>
      </c>
      <c r="B196" s="264">
        <v>36720</v>
      </c>
      <c r="C196" s="265">
        <v>112.5</v>
      </c>
      <c r="D196" s="265">
        <v>58.5</v>
      </c>
      <c r="E196" s="265"/>
      <c r="F196" s="1"/>
      <c r="Z196" s="322">
        <v>36748</v>
      </c>
      <c r="AA196" s="323">
        <v>134.75</v>
      </c>
      <c r="AB196" s="323">
        <v>74.5</v>
      </c>
    </row>
    <row r="197" spans="1:28">
      <c r="A197" s="264">
        <v>36727</v>
      </c>
      <c r="B197" s="264">
        <v>36727</v>
      </c>
      <c r="C197" s="265">
        <v>121.5</v>
      </c>
      <c r="D197" s="265">
        <v>63.5</v>
      </c>
      <c r="E197" s="265"/>
      <c r="F197" s="1"/>
      <c r="Z197" s="322">
        <v>36755</v>
      </c>
      <c r="AA197" s="323">
        <v>130.5</v>
      </c>
      <c r="AB197" s="323">
        <v>80</v>
      </c>
    </row>
    <row r="198" spans="1:28">
      <c r="A198" s="264">
        <v>36734</v>
      </c>
      <c r="B198" s="264">
        <v>36734</v>
      </c>
      <c r="C198" s="265">
        <v>132</v>
      </c>
      <c r="D198" s="265">
        <v>70</v>
      </c>
      <c r="E198" s="265"/>
      <c r="F198" s="1"/>
      <c r="Z198" s="322">
        <v>36762</v>
      </c>
      <c r="AA198" s="323">
        <v>122.5</v>
      </c>
      <c r="AB198" s="323">
        <v>79</v>
      </c>
    </row>
    <row r="199" spans="1:28">
      <c r="A199" s="264">
        <v>36741</v>
      </c>
      <c r="B199" s="264">
        <v>36741</v>
      </c>
      <c r="C199" s="265">
        <v>134.75</v>
      </c>
      <c r="D199" s="265">
        <v>71</v>
      </c>
      <c r="E199" s="265"/>
      <c r="F199" s="1"/>
      <c r="Z199" s="322">
        <v>36769</v>
      </c>
      <c r="AA199" s="323">
        <v>119</v>
      </c>
      <c r="AB199" s="323">
        <v>75.5</v>
      </c>
    </row>
    <row r="200" spans="1:28">
      <c r="A200" s="264">
        <v>36748</v>
      </c>
      <c r="B200" s="264">
        <v>36748</v>
      </c>
      <c r="C200" s="265">
        <v>134.75</v>
      </c>
      <c r="D200" s="265">
        <v>72</v>
      </c>
      <c r="E200" s="265"/>
      <c r="F200" s="1"/>
      <c r="Z200" s="322">
        <v>36776</v>
      </c>
      <c r="AA200" s="323">
        <v>109</v>
      </c>
      <c r="AB200" s="323">
        <v>72.5</v>
      </c>
    </row>
    <row r="201" spans="1:28">
      <c r="A201" s="264">
        <v>36755</v>
      </c>
      <c r="B201" s="264">
        <v>36755</v>
      </c>
      <c r="C201" s="265">
        <v>130.5</v>
      </c>
      <c r="D201" s="265">
        <v>74.5</v>
      </c>
      <c r="E201" s="265"/>
      <c r="F201" s="1"/>
      <c r="Z201" s="322">
        <v>36783</v>
      </c>
      <c r="AA201" s="323">
        <v>106.5</v>
      </c>
      <c r="AB201" s="323">
        <v>71.5</v>
      </c>
    </row>
    <row r="202" spans="1:28">
      <c r="A202" s="264">
        <v>36762</v>
      </c>
      <c r="B202" s="264">
        <v>36762</v>
      </c>
      <c r="C202" s="265">
        <v>122.5</v>
      </c>
      <c r="D202" s="265">
        <v>80</v>
      </c>
      <c r="E202" s="265"/>
      <c r="F202" s="1"/>
      <c r="Z202" s="322">
        <v>36790</v>
      </c>
      <c r="AA202" s="323">
        <v>107</v>
      </c>
      <c r="AB202" s="323">
        <v>71.5</v>
      </c>
    </row>
    <row r="203" spans="1:28">
      <c r="A203" s="264">
        <v>36769</v>
      </c>
      <c r="B203" s="264">
        <v>36769</v>
      </c>
      <c r="C203" s="265">
        <v>119</v>
      </c>
      <c r="D203" s="265">
        <v>79</v>
      </c>
      <c r="E203" s="265"/>
      <c r="F203" s="1"/>
      <c r="Z203" s="322">
        <v>36797</v>
      </c>
      <c r="AA203" s="323">
        <v>113.5</v>
      </c>
      <c r="AB203" s="323">
        <v>66.5</v>
      </c>
    </row>
    <row r="204" spans="1:28">
      <c r="A204" s="264">
        <v>36776</v>
      </c>
      <c r="B204" s="264">
        <v>36776</v>
      </c>
      <c r="C204" s="265">
        <v>109</v>
      </c>
      <c r="D204" s="265">
        <v>75.5</v>
      </c>
      <c r="E204" s="265"/>
      <c r="F204" s="1"/>
      <c r="Z204" s="322">
        <v>36804</v>
      </c>
      <c r="AA204" s="323">
        <v>113.5</v>
      </c>
      <c r="AB204" s="323">
        <v>67.5</v>
      </c>
    </row>
    <row r="205" spans="1:28">
      <c r="A205" s="264">
        <v>36783</v>
      </c>
      <c r="B205" s="264">
        <v>36783</v>
      </c>
      <c r="C205" s="265">
        <v>106.5</v>
      </c>
      <c r="D205" s="265">
        <v>72.5</v>
      </c>
      <c r="E205" s="265"/>
      <c r="F205" s="1"/>
      <c r="Z205" s="322">
        <v>36811</v>
      </c>
      <c r="AA205" s="323">
        <v>114</v>
      </c>
      <c r="AB205" s="323">
        <v>64.5</v>
      </c>
    </row>
    <row r="206" spans="1:28">
      <c r="A206" s="264">
        <v>36790</v>
      </c>
      <c r="B206" s="264">
        <v>36790</v>
      </c>
      <c r="C206" s="265">
        <v>107</v>
      </c>
      <c r="D206" s="265">
        <v>71.5</v>
      </c>
      <c r="E206" s="265"/>
      <c r="F206" s="1"/>
      <c r="Z206" s="322">
        <v>36818</v>
      </c>
      <c r="AA206" s="323">
        <v>113.5</v>
      </c>
      <c r="AB206" s="323">
        <v>63.5</v>
      </c>
    </row>
    <row r="207" spans="1:28">
      <c r="A207" s="264">
        <v>36797</v>
      </c>
      <c r="B207" s="264">
        <v>36797</v>
      </c>
      <c r="C207" s="265">
        <v>113.5</v>
      </c>
      <c r="D207" s="265">
        <v>71.5</v>
      </c>
      <c r="E207" s="265"/>
      <c r="F207" s="1"/>
      <c r="Z207" s="322">
        <v>36825</v>
      </c>
      <c r="AA207" s="323">
        <v>106.5</v>
      </c>
      <c r="AB207" s="323">
        <v>62.5</v>
      </c>
    </row>
    <row r="208" spans="1:28">
      <c r="A208" s="264">
        <v>36804</v>
      </c>
      <c r="B208" s="264">
        <v>36804</v>
      </c>
      <c r="C208" s="265">
        <v>113.5</v>
      </c>
      <c r="D208" s="265">
        <v>66.5</v>
      </c>
      <c r="E208" s="265"/>
      <c r="F208" s="1"/>
      <c r="Z208" s="322">
        <v>36832</v>
      </c>
      <c r="AA208" s="323">
        <v>105.5</v>
      </c>
      <c r="AB208" s="323">
        <v>57.5</v>
      </c>
    </row>
    <row r="209" spans="1:28">
      <c r="A209" s="264">
        <v>36811</v>
      </c>
      <c r="B209" s="264">
        <v>36811</v>
      </c>
      <c r="C209" s="265">
        <v>114</v>
      </c>
      <c r="D209" s="265">
        <v>67.5</v>
      </c>
      <c r="E209" s="265"/>
      <c r="F209" s="1"/>
      <c r="Z209" s="322">
        <v>36839</v>
      </c>
      <c r="AA209" s="323">
        <v>102</v>
      </c>
      <c r="AB209" s="323">
        <v>57.5</v>
      </c>
    </row>
    <row r="210" spans="1:28">
      <c r="A210" s="264">
        <v>36818</v>
      </c>
      <c r="B210" s="264">
        <v>36818</v>
      </c>
      <c r="C210" s="265">
        <v>113.5</v>
      </c>
      <c r="D210" s="265">
        <v>64.5</v>
      </c>
      <c r="E210" s="265"/>
      <c r="F210" s="1"/>
      <c r="Z210" s="322">
        <v>36846</v>
      </c>
      <c r="AA210" s="323">
        <v>101.5</v>
      </c>
      <c r="AB210" s="323">
        <v>57.5</v>
      </c>
    </row>
    <row r="211" spans="1:28">
      <c r="A211" s="264">
        <v>36825</v>
      </c>
      <c r="B211" s="264">
        <v>36825</v>
      </c>
      <c r="C211" s="265">
        <v>106.5</v>
      </c>
      <c r="D211" s="265">
        <v>63.5</v>
      </c>
      <c r="E211" s="265"/>
      <c r="F211" s="1"/>
      <c r="Z211" s="322">
        <v>36853</v>
      </c>
      <c r="AA211" s="323">
        <v>99</v>
      </c>
      <c r="AB211" s="323">
        <v>58</v>
      </c>
    </row>
    <row r="212" spans="1:28">
      <c r="A212" s="264">
        <v>36832</v>
      </c>
      <c r="B212" s="264">
        <v>36832</v>
      </c>
      <c r="C212" s="265">
        <v>105.5</v>
      </c>
      <c r="D212" s="265">
        <v>62.5</v>
      </c>
      <c r="E212" s="265"/>
      <c r="F212" s="1"/>
      <c r="Z212" s="322">
        <v>36860</v>
      </c>
      <c r="AA212" s="323">
        <v>97</v>
      </c>
      <c r="AB212" s="323">
        <v>60</v>
      </c>
    </row>
    <row r="213" spans="1:28">
      <c r="A213" s="264">
        <v>36839</v>
      </c>
      <c r="B213" s="264">
        <v>36839</v>
      </c>
      <c r="C213" s="265">
        <v>102</v>
      </c>
      <c r="D213" s="265">
        <v>57.5</v>
      </c>
      <c r="E213" s="265"/>
      <c r="F213" s="1"/>
      <c r="Z213" s="322">
        <v>36867</v>
      </c>
      <c r="AA213" s="323">
        <v>97</v>
      </c>
      <c r="AB213" s="323">
        <v>63</v>
      </c>
    </row>
    <row r="214" spans="1:28">
      <c r="A214" s="264">
        <v>36846</v>
      </c>
      <c r="B214" s="264">
        <v>36846</v>
      </c>
      <c r="C214" s="265">
        <v>101.5</v>
      </c>
      <c r="D214" s="265">
        <v>57.5</v>
      </c>
      <c r="E214" s="265"/>
      <c r="F214" s="1"/>
      <c r="Z214" s="322">
        <v>36874</v>
      </c>
      <c r="AA214" s="323">
        <v>97</v>
      </c>
      <c r="AB214" s="323">
        <v>76.5</v>
      </c>
    </row>
    <row r="215" spans="1:28">
      <c r="A215" s="264">
        <v>36853</v>
      </c>
      <c r="B215" s="264">
        <v>36853</v>
      </c>
      <c r="C215" s="265">
        <v>99</v>
      </c>
      <c r="D215" s="265">
        <v>57.5</v>
      </c>
      <c r="E215" s="265"/>
      <c r="F215" s="1"/>
      <c r="Z215" s="322">
        <v>36895</v>
      </c>
      <c r="AA215" s="323">
        <v>110</v>
      </c>
      <c r="AB215" s="323">
        <v>82.5</v>
      </c>
    </row>
    <row r="216" spans="1:28">
      <c r="A216" s="264">
        <v>36860</v>
      </c>
      <c r="B216" s="264">
        <v>36860</v>
      </c>
      <c r="C216" s="265">
        <v>97</v>
      </c>
      <c r="D216" s="265">
        <v>58</v>
      </c>
      <c r="E216" s="265"/>
      <c r="F216" s="1"/>
      <c r="Z216" s="322">
        <v>36902</v>
      </c>
      <c r="AA216" s="323">
        <v>117.5</v>
      </c>
      <c r="AB216" s="323">
        <v>100</v>
      </c>
    </row>
    <row r="217" spans="1:28">
      <c r="A217" s="264">
        <v>36867</v>
      </c>
      <c r="B217" s="264">
        <v>36867</v>
      </c>
      <c r="C217" s="265">
        <v>97</v>
      </c>
      <c r="D217" s="265">
        <v>60</v>
      </c>
      <c r="E217" s="265"/>
      <c r="F217" s="1"/>
      <c r="Z217" s="322">
        <v>36909</v>
      </c>
      <c r="AA217" s="323">
        <v>113</v>
      </c>
      <c r="AB217" s="323">
        <v>107.5</v>
      </c>
    </row>
    <row r="218" spans="1:28">
      <c r="A218" s="264">
        <v>36874</v>
      </c>
      <c r="B218" s="264">
        <v>36874</v>
      </c>
      <c r="C218" s="265">
        <v>97</v>
      </c>
      <c r="D218" s="265">
        <v>63</v>
      </c>
      <c r="E218" s="265"/>
      <c r="F218" s="1"/>
      <c r="Z218" s="322">
        <v>36916</v>
      </c>
      <c r="AA218" s="323">
        <v>111.5</v>
      </c>
      <c r="AB218" s="323">
        <v>100</v>
      </c>
    </row>
    <row r="219" spans="1:28">
      <c r="A219" s="264">
        <v>36895</v>
      </c>
      <c r="B219" s="264">
        <v>36895</v>
      </c>
      <c r="C219" s="265">
        <v>110</v>
      </c>
      <c r="D219" s="265">
        <v>76.5</v>
      </c>
      <c r="E219" s="265"/>
      <c r="F219" s="1"/>
      <c r="Z219" s="322">
        <v>36923</v>
      </c>
      <c r="AA219" s="323">
        <v>102.5</v>
      </c>
      <c r="AB219" s="323">
        <v>100</v>
      </c>
    </row>
    <row r="220" spans="1:28">
      <c r="A220" s="264">
        <v>36902</v>
      </c>
      <c r="B220" s="264">
        <v>36902</v>
      </c>
      <c r="C220" s="265">
        <v>117.5</v>
      </c>
      <c r="D220" s="265">
        <v>82.5</v>
      </c>
      <c r="E220" s="265"/>
      <c r="F220" s="1"/>
      <c r="Z220" s="322">
        <v>36930</v>
      </c>
      <c r="AA220" s="323">
        <v>98</v>
      </c>
      <c r="AB220" s="323">
        <v>97.5</v>
      </c>
    </row>
    <row r="221" spans="1:28">
      <c r="A221" s="264">
        <v>36909</v>
      </c>
      <c r="B221" s="264">
        <v>36909</v>
      </c>
      <c r="C221" s="265">
        <v>113</v>
      </c>
      <c r="D221" s="265">
        <v>100</v>
      </c>
      <c r="E221" s="265"/>
      <c r="F221" s="1"/>
      <c r="Z221" s="322">
        <v>36937</v>
      </c>
      <c r="AA221" s="323">
        <v>101.5</v>
      </c>
      <c r="AB221" s="323">
        <v>97.5</v>
      </c>
    </row>
    <row r="222" spans="1:28">
      <c r="A222" s="264">
        <v>36916</v>
      </c>
      <c r="B222" s="264">
        <v>36916</v>
      </c>
      <c r="C222" s="265">
        <v>111.5</v>
      </c>
      <c r="D222" s="265">
        <v>107.5</v>
      </c>
      <c r="E222" s="265"/>
      <c r="F222" s="1"/>
      <c r="Z222" s="322">
        <v>36944</v>
      </c>
      <c r="AA222" s="323">
        <v>98.5</v>
      </c>
      <c r="AB222" s="323">
        <v>97.5</v>
      </c>
    </row>
    <row r="223" spans="1:28">
      <c r="A223" s="264">
        <v>36923</v>
      </c>
      <c r="B223" s="264">
        <v>36923</v>
      </c>
      <c r="C223" s="265">
        <v>102.5</v>
      </c>
      <c r="D223" s="265">
        <v>100</v>
      </c>
      <c r="E223" s="265"/>
      <c r="F223" s="1"/>
      <c r="Z223" s="322">
        <v>36951</v>
      </c>
      <c r="AA223" s="323">
        <v>97</v>
      </c>
      <c r="AB223" s="323">
        <v>97.5</v>
      </c>
    </row>
    <row r="224" spans="1:28">
      <c r="A224" s="264">
        <v>36930</v>
      </c>
      <c r="B224" s="264">
        <v>36930</v>
      </c>
      <c r="C224" s="265">
        <v>98</v>
      </c>
      <c r="D224" s="265">
        <v>100</v>
      </c>
      <c r="E224" s="265"/>
      <c r="F224" s="1"/>
      <c r="Z224" s="322">
        <v>36958</v>
      </c>
      <c r="AA224" s="323">
        <v>94.5</v>
      </c>
      <c r="AB224" s="323">
        <v>97.5</v>
      </c>
    </row>
    <row r="225" spans="1:28">
      <c r="A225" s="264">
        <v>36937</v>
      </c>
      <c r="B225" s="264">
        <v>36937</v>
      </c>
      <c r="C225" s="265">
        <v>101.5</v>
      </c>
      <c r="D225" s="265">
        <v>97.5</v>
      </c>
      <c r="E225" s="265"/>
      <c r="F225" s="1"/>
      <c r="Z225" s="322">
        <v>36965</v>
      </c>
      <c r="AA225" s="323">
        <v>96</v>
      </c>
      <c r="AB225" s="323">
        <v>91.5</v>
      </c>
    </row>
    <row r="226" spans="1:28">
      <c r="A226" s="264">
        <v>36944</v>
      </c>
      <c r="B226" s="264">
        <v>36944</v>
      </c>
      <c r="C226" s="265">
        <v>98.5</v>
      </c>
      <c r="D226" s="265">
        <v>97.5</v>
      </c>
      <c r="E226" s="265"/>
      <c r="F226" s="1"/>
      <c r="Z226" s="322">
        <v>36972</v>
      </c>
      <c r="AA226" s="323">
        <v>94</v>
      </c>
      <c r="AB226" s="323">
        <v>90.5</v>
      </c>
    </row>
    <row r="227" spans="1:28">
      <c r="A227" s="264">
        <v>36951</v>
      </c>
      <c r="B227" s="264">
        <v>36951</v>
      </c>
      <c r="C227" s="265">
        <v>97</v>
      </c>
      <c r="D227" s="265">
        <v>97.5</v>
      </c>
      <c r="E227" s="265"/>
      <c r="F227" s="1"/>
      <c r="H227" s="2"/>
      <c r="I227" s="2"/>
      <c r="J227" s="2"/>
      <c r="K227" s="2"/>
      <c r="L227" s="2"/>
      <c r="M227" s="2"/>
      <c r="N227" s="2"/>
      <c r="O227" s="2"/>
      <c r="P227" s="2"/>
      <c r="Z227" s="322">
        <v>36979</v>
      </c>
      <c r="AA227" s="323">
        <v>94</v>
      </c>
      <c r="AB227" s="323">
        <v>82.5</v>
      </c>
    </row>
    <row r="228" spans="1:28" ht="15.75">
      <c r="A228" s="264">
        <v>36958</v>
      </c>
      <c r="B228" s="264">
        <v>36958</v>
      </c>
      <c r="C228" s="265">
        <v>94.5</v>
      </c>
      <c r="D228" s="265">
        <v>97.5</v>
      </c>
      <c r="E228" s="265"/>
      <c r="F228" s="1"/>
      <c r="H228" s="354"/>
      <c r="I228" s="355"/>
      <c r="J228" s="356"/>
      <c r="K228" s="356"/>
      <c r="L228" s="356"/>
      <c r="M228" s="356"/>
      <c r="N228" s="356"/>
      <c r="O228" s="356"/>
      <c r="P228" s="2"/>
      <c r="Z228" s="322">
        <v>36986</v>
      </c>
      <c r="AA228" s="323">
        <v>91.5</v>
      </c>
      <c r="AB228" s="323">
        <v>79</v>
      </c>
    </row>
    <row r="229" spans="1:28" ht="15.75">
      <c r="A229" s="264">
        <v>36965</v>
      </c>
      <c r="B229" s="264">
        <v>36965</v>
      </c>
      <c r="C229" s="265">
        <v>96</v>
      </c>
      <c r="D229" s="265">
        <v>97.5</v>
      </c>
      <c r="E229" s="265"/>
      <c r="F229" s="1"/>
      <c r="H229" s="354"/>
      <c r="I229" s="357"/>
      <c r="J229" s="357"/>
      <c r="K229" s="357"/>
      <c r="L229" s="357"/>
      <c r="M229" s="357"/>
      <c r="N229" s="357"/>
      <c r="O229" s="357"/>
      <c r="P229" s="2"/>
      <c r="Z229" s="322">
        <v>37000</v>
      </c>
      <c r="AA229" s="323">
        <v>83.5</v>
      </c>
      <c r="AB229" s="323">
        <v>76</v>
      </c>
    </row>
    <row r="230" spans="1:28" ht="15.75">
      <c r="A230" s="264">
        <v>36972</v>
      </c>
      <c r="B230" s="264">
        <v>36972</v>
      </c>
      <c r="C230" s="265">
        <v>94</v>
      </c>
      <c r="D230" s="265">
        <v>91.5</v>
      </c>
      <c r="E230" s="265"/>
      <c r="F230" s="1"/>
      <c r="H230" s="358"/>
      <c r="I230" s="359"/>
      <c r="J230" s="359"/>
      <c r="K230" s="359"/>
      <c r="L230" s="359"/>
      <c r="M230" s="359"/>
      <c r="N230" s="359"/>
      <c r="O230" s="359"/>
      <c r="P230" s="2"/>
      <c r="Z230" s="322">
        <v>37007</v>
      </c>
      <c r="AA230" s="323">
        <v>75.5</v>
      </c>
      <c r="AB230" s="323">
        <v>76</v>
      </c>
    </row>
    <row r="231" spans="1:28" ht="15.75">
      <c r="A231" s="264">
        <v>36979</v>
      </c>
      <c r="B231" s="264">
        <v>36979</v>
      </c>
      <c r="C231" s="265">
        <v>94</v>
      </c>
      <c r="D231" s="265">
        <v>90.5</v>
      </c>
      <c r="E231" s="265"/>
      <c r="F231" s="1"/>
      <c r="H231" s="360"/>
      <c r="I231" s="359"/>
      <c r="J231" s="359"/>
      <c r="K231" s="359"/>
      <c r="L231" s="361"/>
      <c r="M231" s="361"/>
      <c r="N231" s="361"/>
      <c r="O231" s="361"/>
      <c r="P231" s="2"/>
      <c r="Z231" s="322">
        <v>37014</v>
      </c>
      <c r="AA231" s="323">
        <v>73.5</v>
      </c>
      <c r="AB231" s="323">
        <v>61</v>
      </c>
    </row>
    <row r="232" spans="1:28" ht="15.75">
      <c r="A232" s="264">
        <v>36986</v>
      </c>
      <c r="B232" s="264">
        <v>36986</v>
      </c>
      <c r="C232" s="265">
        <v>91.5</v>
      </c>
      <c r="D232" s="265">
        <v>82.5</v>
      </c>
      <c r="E232" s="265"/>
      <c r="F232" s="1"/>
      <c r="H232" s="360"/>
      <c r="I232" s="362"/>
      <c r="J232" s="359"/>
      <c r="K232" s="361"/>
      <c r="L232" s="359"/>
      <c r="M232" s="359"/>
      <c r="N232" s="359"/>
      <c r="O232" s="359"/>
      <c r="P232" s="2"/>
      <c r="Z232" s="322">
        <v>37021</v>
      </c>
      <c r="AA232" s="323">
        <v>74</v>
      </c>
      <c r="AB232" s="323">
        <v>60.5</v>
      </c>
    </row>
    <row r="233" spans="1:28" ht="15.75">
      <c r="A233" s="264">
        <v>37000</v>
      </c>
      <c r="B233" s="264">
        <v>37000</v>
      </c>
      <c r="C233" s="265">
        <v>83.5</v>
      </c>
      <c r="D233" s="265">
        <v>79</v>
      </c>
      <c r="E233" s="265"/>
      <c r="F233" s="1"/>
      <c r="H233" s="360"/>
      <c r="I233" s="362"/>
      <c r="J233" s="361"/>
      <c r="K233" s="361"/>
      <c r="L233" s="361"/>
      <c r="M233" s="361"/>
      <c r="N233" s="361"/>
      <c r="O233" s="361"/>
      <c r="P233" s="2"/>
      <c r="Z233" s="322">
        <v>37028</v>
      </c>
      <c r="AA233" s="323">
        <v>78</v>
      </c>
      <c r="AB233" s="323">
        <v>60.5</v>
      </c>
    </row>
    <row r="234" spans="1:28" ht="15.75">
      <c r="A234" s="264">
        <v>37007</v>
      </c>
      <c r="B234" s="264">
        <v>37007</v>
      </c>
      <c r="C234" s="265">
        <v>75.5</v>
      </c>
      <c r="D234" s="265">
        <v>76</v>
      </c>
      <c r="E234" s="265"/>
      <c r="F234" s="1"/>
      <c r="H234" s="360"/>
      <c r="I234" s="359"/>
      <c r="J234" s="359"/>
      <c r="K234" s="359"/>
      <c r="L234" s="359"/>
      <c r="M234" s="359"/>
      <c r="N234" s="359"/>
      <c r="O234" s="359"/>
      <c r="P234" s="2"/>
      <c r="Z234" s="322">
        <v>37035</v>
      </c>
      <c r="AA234" s="323">
        <v>80.5</v>
      </c>
      <c r="AB234" s="323">
        <v>50</v>
      </c>
    </row>
    <row r="235" spans="1:28" ht="15.75">
      <c r="A235" s="264">
        <v>37014</v>
      </c>
      <c r="B235" s="264">
        <v>37014</v>
      </c>
      <c r="C235" s="265">
        <v>73.5</v>
      </c>
      <c r="D235" s="265">
        <v>76</v>
      </c>
      <c r="E235" s="265"/>
      <c r="F235" s="1"/>
      <c r="H235" s="360"/>
      <c r="I235" s="359"/>
      <c r="J235" s="359"/>
      <c r="K235" s="359"/>
      <c r="L235" s="359"/>
      <c r="M235" s="359"/>
      <c r="N235" s="359"/>
      <c r="O235" s="359"/>
      <c r="P235" s="2"/>
      <c r="Z235" s="322">
        <v>37042</v>
      </c>
      <c r="AA235" s="323">
        <v>84</v>
      </c>
      <c r="AB235" s="323">
        <v>50</v>
      </c>
    </row>
    <row r="236" spans="1:28" ht="15.75">
      <c r="A236" s="264">
        <v>37021</v>
      </c>
      <c r="B236" s="264">
        <v>37021</v>
      </c>
      <c r="C236" s="265">
        <v>74</v>
      </c>
      <c r="D236" s="265">
        <v>61</v>
      </c>
      <c r="E236" s="265"/>
      <c r="F236" s="1"/>
      <c r="H236" s="360"/>
      <c r="I236" s="359"/>
      <c r="J236" s="359"/>
      <c r="K236" s="359"/>
      <c r="L236" s="359"/>
      <c r="M236" s="359"/>
      <c r="N236" s="359"/>
      <c r="O236" s="359"/>
      <c r="P236" s="2"/>
      <c r="Z236" s="322">
        <v>37049</v>
      </c>
      <c r="AA236" s="323">
        <v>84</v>
      </c>
      <c r="AB236" s="323">
        <v>48</v>
      </c>
    </row>
    <row r="237" spans="1:28" ht="15.75">
      <c r="A237" s="264">
        <v>37028</v>
      </c>
      <c r="B237" s="264">
        <v>37028</v>
      </c>
      <c r="C237" s="265">
        <v>78</v>
      </c>
      <c r="D237" s="265">
        <v>60.5</v>
      </c>
      <c r="E237" s="265"/>
      <c r="F237" s="1"/>
      <c r="H237" s="360"/>
      <c r="I237" s="359"/>
      <c r="J237" s="359"/>
      <c r="K237" s="359"/>
      <c r="L237" s="359"/>
      <c r="M237" s="359"/>
      <c r="N237" s="359"/>
      <c r="O237" s="359"/>
      <c r="P237" s="2"/>
      <c r="Z237" s="322">
        <v>37056</v>
      </c>
      <c r="AA237" s="323">
        <v>84</v>
      </c>
      <c r="AB237" s="323">
        <v>48</v>
      </c>
    </row>
    <row r="238" spans="1:28" ht="15.75">
      <c r="A238" s="264">
        <v>37035</v>
      </c>
      <c r="B238" s="264">
        <v>37035</v>
      </c>
      <c r="C238" s="265">
        <v>80.5</v>
      </c>
      <c r="D238" s="265">
        <v>60.5</v>
      </c>
      <c r="E238" s="265"/>
      <c r="F238" s="1"/>
      <c r="H238" s="358"/>
      <c r="I238" s="359"/>
      <c r="J238" s="359"/>
      <c r="K238" s="359"/>
      <c r="L238" s="359"/>
      <c r="M238" s="359"/>
      <c r="N238" s="359"/>
      <c r="O238" s="359"/>
      <c r="P238" s="2"/>
      <c r="Z238" s="322">
        <v>37063</v>
      </c>
      <c r="AA238" s="323">
        <v>82</v>
      </c>
      <c r="AB238" s="323">
        <v>55</v>
      </c>
    </row>
    <row r="239" spans="1:28" ht="15.75">
      <c r="A239" s="264">
        <v>37042</v>
      </c>
      <c r="B239" s="264">
        <v>37042</v>
      </c>
      <c r="C239" s="265">
        <v>84</v>
      </c>
      <c r="D239" s="265">
        <v>50</v>
      </c>
      <c r="E239" s="265"/>
      <c r="F239" s="1"/>
      <c r="H239" s="360"/>
      <c r="I239" s="359"/>
      <c r="J239" s="359"/>
      <c r="K239" s="361"/>
      <c r="L239" s="361"/>
      <c r="M239" s="361"/>
      <c r="N239" s="361"/>
      <c r="O239" s="361"/>
      <c r="P239" s="2"/>
      <c r="Z239" s="322">
        <v>37070</v>
      </c>
      <c r="AA239" s="323">
        <v>84</v>
      </c>
      <c r="AB239" s="323">
        <v>55.5</v>
      </c>
    </row>
    <row r="240" spans="1:28" ht="15.75">
      <c r="A240" s="264">
        <v>37049</v>
      </c>
      <c r="B240" s="264">
        <v>37049</v>
      </c>
      <c r="C240" s="265">
        <v>84</v>
      </c>
      <c r="D240" s="265">
        <v>50</v>
      </c>
      <c r="E240" s="265"/>
      <c r="F240" s="1"/>
      <c r="H240" s="360"/>
      <c r="I240" s="362"/>
      <c r="J240" s="361"/>
      <c r="K240" s="361"/>
      <c r="L240" s="361"/>
      <c r="M240" s="361"/>
      <c r="N240" s="361"/>
      <c r="O240" s="361"/>
      <c r="P240" s="2"/>
      <c r="Z240" s="322">
        <v>37077</v>
      </c>
      <c r="AA240" s="323">
        <v>84</v>
      </c>
      <c r="AB240" s="323">
        <v>57</v>
      </c>
    </row>
    <row r="241" spans="1:28" ht="15.75">
      <c r="A241" s="264">
        <v>37056</v>
      </c>
      <c r="B241" s="264">
        <v>37056</v>
      </c>
      <c r="C241" s="265">
        <v>84</v>
      </c>
      <c r="D241" s="265">
        <v>48</v>
      </c>
      <c r="E241" s="265"/>
      <c r="F241" s="1"/>
      <c r="H241" s="360"/>
      <c r="I241" s="359"/>
      <c r="J241" s="359"/>
      <c r="K241" s="359"/>
      <c r="L241" s="359"/>
      <c r="M241" s="359"/>
      <c r="N241" s="359"/>
      <c r="O241" s="359"/>
      <c r="P241" s="2"/>
      <c r="Z241" s="322">
        <v>37084</v>
      </c>
      <c r="AA241" s="323">
        <v>87.75</v>
      </c>
      <c r="AB241" s="323">
        <v>57</v>
      </c>
    </row>
    <row r="242" spans="1:28">
      <c r="A242" s="264">
        <v>37063</v>
      </c>
      <c r="B242" s="264">
        <v>37063</v>
      </c>
      <c r="C242" s="265">
        <v>82</v>
      </c>
      <c r="D242" s="265">
        <v>48</v>
      </c>
      <c r="E242" s="265"/>
      <c r="F242" s="1"/>
      <c r="H242" s="2"/>
      <c r="I242" s="2"/>
      <c r="J242" s="2"/>
      <c r="K242" s="2"/>
      <c r="L242" s="2"/>
      <c r="M242" s="2"/>
      <c r="N242" s="2"/>
      <c r="O242" s="2"/>
      <c r="P242" s="2"/>
      <c r="Z242" s="322">
        <v>37091</v>
      </c>
      <c r="AA242" s="323">
        <v>87.75</v>
      </c>
      <c r="AB242" s="323">
        <v>60</v>
      </c>
    </row>
    <row r="243" spans="1:28">
      <c r="A243" s="264">
        <v>37070</v>
      </c>
      <c r="B243" s="264">
        <v>37070</v>
      </c>
      <c r="C243" s="265">
        <v>84</v>
      </c>
      <c r="D243" s="265">
        <v>55</v>
      </c>
      <c r="E243" s="265"/>
      <c r="F243" s="1"/>
      <c r="Z243" s="322">
        <v>37098</v>
      </c>
      <c r="AA243" s="323">
        <v>89</v>
      </c>
      <c r="AB243" s="323">
        <v>60</v>
      </c>
    </row>
    <row r="244" spans="1:28">
      <c r="A244" s="264">
        <v>37077</v>
      </c>
      <c r="B244" s="264">
        <v>37077</v>
      </c>
      <c r="C244" s="265">
        <v>84</v>
      </c>
      <c r="D244" s="265">
        <v>55.5</v>
      </c>
      <c r="E244" s="265"/>
      <c r="F244" s="1"/>
      <c r="Z244" s="322">
        <v>37105</v>
      </c>
      <c r="AA244" s="323">
        <v>90.5</v>
      </c>
      <c r="AB244" s="323">
        <v>58.5</v>
      </c>
    </row>
    <row r="245" spans="1:28">
      <c r="A245" s="264">
        <v>37084</v>
      </c>
      <c r="B245" s="264">
        <v>37084</v>
      </c>
      <c r="C245" s="265">
        <v>87.75</v>
      </c>
      <c r="D245" s="265">
        <v>57</v>
      </c>
      <c r="E245" s="265"/>
      <c r="F245" s="1"/>
      <c r="Z245" s="322">
        <v>37112</v>
      </c>
      <c r="AA245" s="323">
        <v>89.5</v>
      </c>
      <c r="AB245" s="323">
        <v>58.5</v>
      </c>
    </row>
    <row r="246" spans="1:28">
      <c r="A246" s="264">
        <v>37091</v>
      </c>
      <c r="B246" s="264">
        <v>37091</v>
      </c>
      <c r="C246" s="266">
        <v>87.75</v>
      </c>
      <c r="D246" s="266">
        <v>57</v>
      </c>
      <c r="E246" s="266"/>
      <c r="F246" s="1"/>
      <c r="Z246" s="322">
        <v>37119</v>
      </c>
      <c r="AA246" s="323">
        <v>87.5</v>
      </c>
      <c r="AB246" s="323">
        <v>58.5</v>
      </c>
    </row>
    <row r="247" spans="1:28">
      <c r="A247" s="264">
        <v>37098</v>
      </c>
      <c r="B247" s="264">
        <v>37098</v>
      </c>
      <c r="C247" s="266">
        <v>89</v>
      </c>
      <c r="D247" s="266">
        <v>60</v>
      </c>
      <c r="E247" s="266"/>
      <c r="F247" s="1"/>
      <c r="Z247" s="322">
        <v>37126</v>
      </c>
      <c r="AA247" s="323" t="s">
        <v>273</v>
      </c>
      <c r="AB247" s="323">
        <v>56.5</v>
      </c>
    </row>
    <row r="248" spans="1:28">
      <c r="A248" s="264">
        <v>37105</v>
      </c>
      <c r="B248" s="264">
        <v>37105</v>
      </c>
      <c r="C248" s="266">
        <v>90.5</v>
      </c>
      <c r="D248" s="266">
        <v>60</v>
      </c>
      <c r="E248" s="266"/>
      <c r="F248" s="1"/>
      <c r="Z248" s="322">
        <v>37133</v>
      </c>
      <c r="AA248" s="323">
        <v>87.5</v>
      </c>
      <c r="AB248" s="323">
        <v>0</v>
      </c>
    </row>
    <row r="249" spans="1:28">
      <c r="A249" s="264">
        <v>37112</v>
      </c>
      <c r="B249" s="264">
        <v>37112</v>
      </c>
      <c r="C249" s="266">
        <v>89.5</v>
      </c>
      <c r="D249" s="266">
        <v>58.5</v>
      </c>
      <c r="E249" s="266"/>
      <c r="F249" s="1"/>
      <c r="Z249" s="322">
        <v>37140</v>
      </c>
      <c r="AA249" s="323" t="s">
        <v>273</v>
      </c>
      <c r="AB249" s="323">
        <v>56.5</v>
      </c>
    </row>
    <row r="250" spans="1:28">
      <c r="A250" s="264">
        <v>37119</v>
      </c>
      <c r="B250" s="264">
        <v>37119</v>
      </c>
      <c r="C250" s="266">
        <v>87.5</v>
      </c>
      <c r="D250" s="266">
        <v>58.5</v>
      </c>
      <c r="E250" s="266"/>
      <c r="F250" s="1"/>
      <c r="Z250" s="322">
        <v>37147</v>
      </c>
      <c r="AA250" s="323">
        <v>86.5</v>
      </c>
      <c r="AB250" s="323">
        <v>52</v>
      </c>
    </row>
    <row r="251" spans="1:28">
      <c r="A251" s="264">
        <v>37126</v>
      </c>
      <c r="B251" s="264">
        <v>37126</v>
      </c>
      <c r="C251" s="266">
        <v>88</v>
      </c>
      <c r="D251" s="266">
        <v>58.5</v>
      </c>
      <c r="E251" s="266"/>
      <c r="F251" s="1"/>
      <c r="Z251" s="322">
        <v>37154</v>
      </c>
      <c r="AA251" s="323">
        <v>89.5</v>
      </c>
      <c r="AB251" s="323">
        <v>57</v>
      </c>
    </row>
    <row r="252" spans="1:28">
      <c r="A252" s="264">
        <v>37133</v>
      </c>
      <c r="B252" s="264">
        <v>37133</v>
      </c>
      <c r="C252" s="266">
        <v>87.5</v>
      </c>
      <c r="D252" s="266">
        <v>56.5</v>
      </c>
      <c r="E252" s="266"/>
      <c r="F252" s="1"/>
      <c r="Z252" s="322">
        <v>37161</v>
      </c>
      <c r="AA252" s="323">
        <v>92</v>
      </c>
      <c r="AB252" s="323">
        <v>59.5</v>
      </c>
    </row>
    <row r="253" spans="1:28">
      <c r="A253" s="264">
        <v>37140</v>
      </c>
      <c r="B253" s="264">
        <v>37140</v>
      </c>
      <c r="C253" s="266">
        <v>88</v>
      </c>
      <c r="D253" s="266">
        <v>57</v>
      </c>
      <c r="E253" s="266"/>
      <c r="F253" s="1"/>
      <c r="Z253" s="322">
        <v>37168</v>
      </c>
      <c r="AA253" s="323">
        <v>94</v>
      </c>
      <c r="AB253" s="323">
        <v>62</v>
      </c>
    </row>
    <row r="254" spans="1:28">
      <c r="A254" s="264">
        <v>37147</v>
      </c>
      <c r="B254" s="264">
        <v>37147</v>
      </c>
      <c r="C254" s="266">
        <v>86.5</v>
      </c>
      <c r="D254" s="266">
        <v>56.5</v>
      </c>
      <c r="E254" s="266"/>
      <c r="F254" s="1"/>
      <c r="Z254" s="322">
        <v>37175</v>
      </c>
      <c r="AA254" s="323">
        <v>95</v>
      </c>
      <c r="AB254" s="323">
        <v>59</v>
      </c>
    </row>
    <row r="255" spans="1:28">
      <c r="A255" s="264">
        <v>37154</v>
      </c>
      <c r="B255" s="264">
        <v>37154</v>
      </c>
      <c r="C255" s="266">
        <v>89.5</v>
      </c>
      <c r="D255" s="266">
        <v>52</v>
      </c>
      <c r="E255" s="266"/>
      <c r="F255" s="1"/>
      <c r="Z255" s="322">
        <v>37182</v>
      </c>
      <c r="AA255" s="323">
        <v>95.5</v>
      </c>
      <c r="AB255" s="323">
        <v>59</v>
      </c>
    </row>
    <row r="256" spans="1:28">
      <c r="A256" s="264">
        <v>37161</v>
      </c>
      <c r="B256" s="264">
        <v>37161</v>
      </c>
      <c r="C256" s="266">
        <v>92</v>
      </c>
      <c r="D256" s="266">
        <v>57</v>
      </c>
      <c r="E256" s="266"/>
      <c r="F256" s="1"/>
      <c r="Z256" s="322">
        <v>37189</v>
      </c>
      <c r="AA256" s="323">
        <v>93</v>
      </c>
      <c r="AB256" s="323">
        <v>58</v>
      </c>
    </row>
    <row r="257" spans="1:28">
      <c r="A257" s="264">
        <v>37168</v>
      </c>
      <c r="B257" s="264">
        <v>37168</v>
      </c>
      <c r="C257" s="266">
        <v>94</v>
      </c>
      <c r="D257" s="266">
        <v>59.5</v>
      </c>
      <c r="E257" s="266"/>
      <c r="F257" s="1"/>
      <c r="Z257" s="322">
        <v>37196</v>
      </c>
      <c r="AA257" s="323">
        <v>91.5</v>
      </c>
      <c r="AB257" s="323">
        <v>60</v>
      </c>
    </row>
    <row r="258" spans="1:28">
      <c r="A258" s="264">
        <v>37175</v>
      </c>
      <c r="B258" s="264">
        <v>37175</v>
      </c>
      <c r="C258" s="266">
        <v>95</v>
      </c>
      <c r="D258" s="266">
        <v>62</v>
      </c>
      <c r="E258" s="266"/>
      <c r="F258" s="1"/>
      <c r="Z258" s="322">
        <v>37203</v>
      </c>
      <c r="AA258" s="323">
        <v>93.5</v>
      </c>
      <c r="AB258" s="323">
        <v>61.5</v>
      </c>
    </row>
    <row r="259" spans="1:28">
      <c r="A259" s="264">
        <v>37182</v>
      </c>
      <c r="B259" s="264">
        <v>37182</v>
      </c>
      <c r="C259" s="266">
        <v>95.5</v>
      </c>
      <c r="D259" s="266">
        <v>59</v>
      </c>
      <c r="E259" s="266"/>
      <c r="F259" s="1"/>
      <c r="Z259" s="322">
        <v>37210</v>
      </c>
      <c r="AA259" s="323">
        <v>96</v>
      </c>
      <c r="AB259" s="323">
        <v>62</v>
      </c>
    </row>
    <row r="260" spans="1:28">
      <c r="A260" s="264">
        <v>37189</v>
      </c>
      <c r="B260" s="264">
        <v>37189</v>
      </c>
      <c r="C260" s="266">
        <v>93</v>
      </c>
      <c r="D260" s="266">
        <v>59</v>
      </c>
      <c r="E260" s="266"/>
      <c r="F260" s="1"/>
      <c r="Z260" s="322">
        <v>37217</v>
      </c>
      <c r="AA260" s="323">
        <v>96</v>
      </c>
      <c r="AB260" s="323">
        <v>62</v>
      </c>
    </row>
    <row r="261" spans="1:28">
      <c r="A261" s="264">
        <v>37196</v>
      </c>
      <c r="B261" s="264">
        <v>37196</v>
      </c>
      <c r="C261" s="266">
        <v>91.5</v>
      </c>
      <c r="D261" s="266">
        <v>58</v>
      </c>
      <c r="E261" s="266"/>
      <c r="F261" s="1"/>
      <c r="Z261" s="322">
        <v>37224</v>
      </c>
      <c r="AA261" s="323">
        <v>100.5</v>
      </c>
      <c r="AB261" s="323">
        <v>64.5</v>
      </c>
    </row>
    <row r="262" spans="1:28">
      <c r="A262" s="264">
        <v>37203</v>
      </c>
      <c r="B262" s="264">
        <v>37203</v>
      </c>
      <c r="C262" s="266">
        <v>93.5</v>
      </c>
      <c r="D262" s="266">
        <v>60</v>
      </c>
      <c r="E262" s="266"/>
      <c r="F262" s="1"/>
      <c r="Z262" s="322">
        <v>37231</v>
      </c>
      <c r="AA262" s="323">
        <v>100.5</v>
      </c>
      <c r="AB262" s="323">
        <v>67</v>
      </c>
    </row>
    <row r="263" spans="1:28">
      <c r="A263" s="264">
        <v>37210</v>
      </c>
      <c r="B263" s="264">
        <v>37210</v>
      </c>
      <c r="C263" s="266">
        <v>96</v>
      </c>
      <c r="D263" s="266">
        <v>61.5</v>
      </c>
      <c r="E263" s="266"/>
      <c r="F263" s="1"/>
      <c r="Z263" s="322">
        <v>37238</v>
      </c>
      <c r="AA263" s="323">
        <v>100.5</v>
      </c>
      <c r="AB263" s="323">
        <v>67</v>
      </c>
    </row>
    <row r="264" spans="1:28">
      <c r="A264" s="264">
        <v>37217</v>
      </c>
      <c r="B264" s="264">
        <v>37217</v>
      </c>
      <c r="C264" s="266">
        <v>96</v>
      </c>
      <c r="D264" s="266">
        <v>62</v>
      </c>
      <c r="E264" s="266"/>
      <c r="F264" s="1"/>
      <c r="Z264" s="322">
        <v>37245</v>
      </c>
      <c r="AA264" s="323" t="s">
        <v>273</v>
      </c>
      <c r="AB264" s="323">
        <v>67</v>
      </c>
    </row>
    <row r="265" spans="1:28">
      <c r="A265" s="264">
        <v>37224</v>
      </c>
      <c r="B265" s="264">
        <v>37224</v>
      </c>
      <c r="C265" s="266">
        <v>100.5</v>
      </c>
      <c r="D265" s="266">
        <v>62</v>
      </c>
      <c r="E265" s="266"/>
      <c r="F265" s="1"/>
      <c r="Z265" s="322">
        <v>37259</v>
      </c>
      <c r="AA265" s="323">
        <v>103</v>
      </c>
      <c r="AB265" s="323">
        <v>83</v>
      </c>
    </row>
    <row r="266" spans="1:28">
      <c r="A266" s="264">
        <v>37231</v>
      </c>
      <c r="B266" s="264">
        <v>37231</v>
      </c>
      <c r="C266" s="266">
        <v>100.5</v>
      </c>
      <c r="D266" s="266">
        <v>64.5</v>
      </c>
      <c r="E266" s="266"/>
      <c r="F266" s="1"/>
      <c r="Z266" s="322">
        <v>37266</v>
      </c>
      <c r="AA266" s="323">
        <v>103</v>
      </c>
      <c r="AB266" s="323">
        <v>83</v>
      </c>
    </row>
    <row r="267" spans="1:28">
      <c r="A267" s="264">
        <v>37238</v>
      </c>
      <c r="B267" s="264">
        <v>37238</v>
      </c>
      <c r="C267" s="266">
        <v>100.5</v>
      </c>
      <c r="D267" s="266">
        <v>67</v>
      </c>
      <c r="E267" s="266"/>
      <c r="F267" s="1"/>
      <c r="Z267" s="322">
        <v>37273</v>
      </c>
      <c r="AA267" s="323">
        <v>103</v>
      </c>
      <c r="AB267" s="323">
        <v>83</v>
      </c>
    </row>
    <row r="268" spans="1:28">
      <c r="A268" s="264">
        <v>37245</v>
      </c>
      <c r="B268" s="264">
        <v>37245</v>
      </c>
      <c r="C268" s="266">
        <v>101</v>
      </c>
      <c r="D268" s="266">
        <v>67</v>
      </c>
      <c r="E268" s="266"/>
      <c r="F268" s="1"/>
      <c r="Z268" s="322">
        <v>37280</v>
      </c>
      <c r="AA268" s="323">
        <v>94</v>
      </c>
      <c r="AB268" s="323">
        <v>79</v>
      </c>
    </row>
    <row r="269" spans="1:28">
      <c r="A269" s="264">
        <v>37259</v>
      </c>
      <c r="B269" s="264">
        <v>37259</v>
      </c>
      <c r="C269" s="266">
        <v>103</v>
      </c>
      <c r="D269" s="266">
        <v>67</v>
      </c>
      <c r="E269" s="266"/>
      <c r="F269" s="1"/>
      <c r="Z269" s="322">
        <v>37287</v>
      </c>
      <c r="AA269" s="323">
        <v>94</v>
      </c>
      <c r="AB269" s="323">
        <v>77.5</v>
      </c>
    </row>
    <row r="270" spans="1:28">
      <c r="A270" s="264">
        <v>37266</v>
      </c>
      <c r="B270" s="264">
        <v>37266</v>
      </c>
      <c r="C270" s="266">
        <v>103</v>
      </c>
      <c r="D270" s="266">
        <v>83</v>
      </c>
      <c r="E270" s="266"/>
      <c r="F270" s="1"/>
      <c r="Z270" s="322">
        <v>37294</v>
      </c>
      <c r="AA270" s="323">
        <v>92</v>
      </c>
      <c r="AB270" s="323">
        <v>77.5</v>
      </c>
    </row>
    <row r="271" spans="1:28">
      <c r="A271" s="264">
        <v>37273</v>
      </c>
      <c r="B271" s="264">
        <v>37273</v>
      </c>
      <c r="C271" s="266">
        <v>103</v>
      </c>
      <c r="D271" s="266">
        <v>83</v>
      </c>
      <c r="E271" s="266"/>
      <c r="F271" s="1"/>
      <c r="Z271" s="322">
        <v>37301</v>
      </c>
      <c r="AA271" s="323">
        <v>90.5</v>
      </c>
      <c r="AB271" s="323">
        <v>77.5</v>
      </c>
    </row>
    <row r="272" spans="1:28">
      <c r="A272" s="264">
        <v>37280</v>
      </c>
      <c r="B272" s="264">
        <v>37280</v>
      </c>
      <c r="C272" s="266">
        <v>94</v>
      </c>
      <c r="D272" s="266">
        <v>83</v>
      </c>
      <c r="E272" s="266"/>
      <c r="F272" s="1"/>
      <c r="Z272" s="322">
        <v>37308</v>
      </c>
      <c r="AA272" s="323">
        <v>89</v>
      </c>
      <c r="AB272" s="323">
        <v>77.5</v>
      </c>
    </row>
    <row r="273" spans="1:28">
      <c r="A273" s="264">
        <v>37287</v>
      </c>
      <c r="B273" s="264">
        <v>37287</v>
      </c>
      <c r="C273" s="266">
        <v>94</v>
      </c>
      <c r="D273" s="266">
        <v>79</v>
      </c>
      <c r="E273" s="266"/>
      <c r="F273" s="1"/>
      <c r="Z273" s="322">
        <v>37315</v>
      </c>
      <c r="AA273" s="323">
        <v>89</v>
      </c>
      <c r="AB273" s="323">
        <v>77.5</v>
      </c>
    </row>
    <row r="274" spans="1:28">
      <c r="A274" s="264">
        <v>37294</v>
      </c>
      <c r="B274" s="264">
        <v>37294</v>
      </c>
      <c r="C274" s="266">
        <v>92</v>
      </c>
      <c r="D274" s="266">
        <v>77.5</v>
      </c>
      <c r="E274" s="266"/>
      <c r="F274" s="1"/>
      <c r="Z274" s="322">
        <v>37322</v>
      </c>
      <c r="AA274" s="323">
        <v>89</v>
      </c>
      <c r="AB274" s="323">
        <v>76</v>
      </c>
    </row>
    <row r="275" spans="1:28">
      <c r="A275" s="264">
        <v>37301</v>
      </c>
      <c r="B275" s="264">
        <v>37301</v>
      </c>
      <c r="C275" s="266">
        <v>90.5</v>
      </c>
      <c r="D275" s="266">
        <v>77.5</v>
      </c>
      <c r="E275" s="266"/>
      <c r="F275" s="1"/>
      <c r="Z275" s="322">
        <v>37329</v>
      </c>
      <c r="AA275" s="323">
        <v>88.5</v>
      </c>
      <c r="AB275" s="323">
        <v>75.5</v>
      </c>
    </row>
    <row r="276" spans="1:28">
      <c r="A276" s="264">
        <v>37308</v>
      </c>
      <c r="B276" s="264">
        <v>37308</v>
      </c>
      <c r="C276" s="266">
        <v>89</v>
      </c>
      <c r="D276" s="266">
        <v>77.5</v>
      </c>
      <c r="E276" s="266"/>
      <c r="F276" s="1"/>
      <c r="Z276" s="322">
        <v>37336</v>
      </c>
      <c r="AA276" s="323">
        <v>85.5</v>
      </c>
      <c r="AB276" s="323">
        <v>75.5</v>
      </c>
    </row>
    <row r="277" spans="1:28">
      <c r="A277" s="264">
        <v>37315</v>
      </c>
      <c r="B277" s="264">
        <v>37315</v>
      </c>
      <c r="C277" s="266">
        <v>89</v>
      </c>
      <c r="D277" s="266">
        <v>77.5</v>
      </c>
      <c r="E277" s="266"/>
      <c r="F277" s="1"/>
      <c r="Z277" s="322">
        <v>37343</v>
      </c>
      <c r="AA277" s="323" t="s">
        <v>273</v>
      </c>
      <c r="AB277" s="323">
        <v>66</v>
      </c>
    </row>
    <row r="278" spans="1:28">
      <c r="A278" s="264">
        <v>37322</v>
      </c>
      <c r="B278" s="264">
        <v>37322</v>
      </c>
      <c r="C278" s="266">
        <v>89</v>
      </c>
      <c r="D278" s="266">
        <v>77.5</v>
      </c>
      <c r="E278" s="266"/>
      <c r="F278" s="1"/>
      <c r="Z278" s="322">
        <v>37350</v>
      </c>
      <c r="AA278" s="323">
        <v>83.5</v>
      </c>
      <c r="AB278" s="323">
        <v>64</v>
      </c>
    </row>
    <row r="279" spans="1:28">
      <c r="A279" s="264">
        <v>37329</v>
      </c>
      <c r="B279" s="264">
        <v>37329</v>
      </c>
      <c r="C279" s="266">
        <v>88.5</v>
      </c>
      <c r="D279" s="266">
        <v>76</v>
      </c>
      <c r="E279" s="266"/>
      <c r="F279" s="1"/>
      <c r="Z279" s="322">
        <v>37357</v>
      </c>
      <c r="AA279" s="323">
        <v>84.5</v>
      </c>
      <c r="AB279" s="323">
        <v>65</v>
      </c>
    </row>
    <row r="280" spans="1:28">
      <c r="A280" s="264">
        <v>37336</v>
      </c>
      <c r="B280" s="264">
        <v>37336</v>
      </c>
      <c r="C280" s="266">
        <v>85.5</v>
      </c>
      <c r="D280" s="266">
        <v>75.5</v>
      </c>
      <c r="E280" s="266"/>
      <c r="F280" s="1"/>
      <c r="Z280" s="322">
        <v>37364</v>
      </c>
      <c r="AA280" s="323">
        <v>82.5</v>
      </c>
      <c r="AB280" s="323">
        <v>65</v>
      </c>
    </row>
    <row r="281" spans="1:28">
      <c r="A281" s="264">
        <v>37343</v>
      </c>
      <c r="B281" s="264">
        <v>37343</v>
      </c>
      <c r="C281" s="266">
        <v>85</v>
      </c>
      <c r="D281" s="266">
        <v>70</v>
      </c>
      <c r="E281" s="266"/>
      <c r="F281" s="1"/>
      <c r="Z281" s="322">
        <v>37371</v>
      </c>
      <c r="AA281" s="323">
        <v>83.5</v>
      </c>
      <c r="AB281" s="323">
        <v>62</v>
      </c>
    </row>
    <row r="282" spans="1:28">
      <c r="A282" s="264">
        <v>37350</v>
      </c>
      <c r="B282" s="264">
        <v>37350</v>
      </c>
      <c r="C282" s="266">
        <v>83.5</v>
      </c>
      <c r="D282" s="266">
        <v>66</v>
      </c>
      <c r="E282" s="266"/>
      <c r="F282" s="1"/>
      <c r="Z282" s="322">
        <v>37378</v>
      </c>
      <c r="AA282" s="323">
        <v>85</v>
      </c>
      <c r="AB282" s="323">
        <v>61</v>
      </c>
    </row>
    <row r="283" spans="1:28">
      <c r="A283" s="264">
        <v>37357</v>
      </c>
      <c r="B283" s="264">
        <v>37357</v>
      </c>
      <c r="C283" s="266">
        <v>84.5</v>
      </c>
      <c r="D283" s="266">
        <v>64</v>
      </c>
      <c r="E283" s="266"/>
      <c r="F283" s="1"/>
      <c r="Z283" s="322">
        <v>37385</v>
      </c>
      <c r="AA283" s="323">
        <v>86</v>
      </c>
      <c r="AB283" s="323">
        <v>62.5</v>
      </c>
    </row>
    <row r="284" spans="1:28">
      <c r="A284" s="264">
        <v>37364</v>
      </c>
      <c r="B284" s="264">
        <v>37364</v>
      </c>
      <c r="C284" s="266">
        <v>82.5</v>
      </c>
      <c r="D284" s="266">
        <v>65</v>
      </c>
      <c r="E284" s="266"/>
      <c r="F284" s="1"/>
      <c r="Z284" s="322">
        <v>37392</v>
      </c>
      <c r="AA284" s="323">
        <v>87</v>
      </c>
      <c r="AB284" s="323">
        <v>63.5</v>
      </c>
    </row>
    <row r="285" spans="1:28">
      <c r="A285" s="264">
        <v>37371</v>
      </c>
      <c r="B285" s="264">
        <v>37371</v>
      </c>
      <c r="C285" s="266">
        <v>83.5</v>
      </c>
      <c r="D285" s="266">
        <v>65</v>
      </c>
      <c r="E285" s="266"/>
      <c r="F285" s="1"/>
      <c r="Z285" s="322">
        <v>37399</v>
      </c>
      <c r="AA285" s="323">
        <v>89.5</v>
      </c>
      <c r="AB285" s="323">
        <v>64</v>
      </c>
    </row>
    <row r="286" spans="1:28">
      <c r="A286" s="264">
        <v>37378</v>
      </c>
      <c r="B286" s="264">
        <v>37378</v>
      </c>
      <c r="C286" s="266">
        <v>85</v>
      </c>
      <c r="D286" s="266">
        <v>62</v>
      </c>
      <c r="E286" s="266"/>
      <c r="F286" s="1"/>
      <c r="Z286" s="322">
        <v>37406</v>
      </c>
      <c r="AA286" s="323">
        <v>89.5</v>
      </c>
      <c r="AB286" s="323">
        <v>64</v>
      </c>
    </row>
    <row r="287" spans="1:28">
      <c r="A287" s="264">
        <v>37385</v>
      </c>
      <c r="B287" s="264">
        <v>37385</v>
      </c>
      <c r="C287" s="266">
        <v>86</v>
      </c>
      <c r="D287" s="266">
        <v>61</v>
      </c>
      <c r="E287" s="266"/>
      <c r="F287" s="1"/>
      <c r="Z287" s="322">
        <v>37413</v>
      </c>
      <c r="AA287" s="323">
        <v>90.5</v>
      </c>
      <c r="AB287" s="323">
        <v>64</v>
      </c>
    </row>
    <row r="288" spans="1:28">
      <c r="A288" s="264">
        <v>37392</v>
      </c>
      <c r="B288" s="264">
        <v>37392</v>
      </c>
      <c r="C288" s="266">
        <v>87</v>
      </c>
      <c r="D288" s="266">
        <v>62.5</v>
      </c>
      <c r="E288" s="266"/>
      <c r="F288" s="1"/>
      <c r="Z288" s="322">
        <v>37420</v>
      </c>
      <c r="AA288" s="323">
        <v>91.5</v>
      </c>
      <c r="AB288" s="323">
        <v>64</v>
      </c>
    </row>
    <row r="289" spans="1:28">
      <c r="A289" s="264">
        <v>37399</v>
      </c>
      <c r="B289" s="264">
        <v>37399</v>
      </c>
      <c r="C289" s="266">
        <v>89.5</v>
      </c>
      <c r="D289" s="266">
        <v>63.5</v>
      </c>
      <c r="E289" s="266"/>
      <c r="F289" s="1"/>
      <c r="Z289" s="322">
        <v>37427</v>
      </c>
      <c r="AA289" s="323">
        <v>90</v>
      </c>
      <c r="AB289" s="323">
        <v>64</v>
      </c>
    </row>
    <row r="290" spans="1:28">
      <c r="A290" s="264">
        <v>37406</v>
      </c>
      <c r="B290" s="264">
        <v>37406</v>
      </c>
      <c r="C290" s="266">
        <v>89.5</v>
      </c>
      <c r="D290" s="266">
        <v>64</v>
      </c>
      <c r="E290" s="266"/>
      <c r="F290" s="1"/>
      <c r="Z290" s="322">
        <v>37434</v>
      </c>
      <c r="AA290" s="323">
        <v>89.5</v>
      </c>
      <c r="AB290" s="323">
        <v>62</v>
      </c>
    </row>
    <row r="291" spans="1:28">
      <c r="A291" s="264">
        <v>37413</v>
      </c>
      <c r="B291" s="264">
        <v>37413</v>
      </c>
      <c r="C291" s="266">
        <v>90.5</v>
      </c>
      <c r="D291" s="266">
        <v>64</v>
      </c>
      <c r="E291" s="266"/>
      <c r="F291" s="1"/>
      <c r="Z291" s="322">
        <v>37441</v>
      </c>
      <c r="AA291" s="323">
        <v>90</v>
      </c>
      <c r="AB291" s="323">
        <v>61.5</v>
      </c>
    </row>
    <row r="292" spans="1:28">
      <c r="A292" s="264">
        <v>37420</v>
      </c>
      <c r="B292" s="264">
        <v>37420</v>
      </c>
      <c r="C292" s="266">
        <v>91.5</v>
      </c>
      <c r="D292" s="266">
        <v>64</v>
      </c>
      <c r="E292" s="266"/>
      <c r="F292" s="1"/>
      <c r="Z292" s="322">
        <v>37448</v>
      </c>
      <c r="AA292" s="323">
        <v>93</v>
      </c>
      <c r="AB292" s="323">
        <v>59.5</v>
      </c>
    </row>
    <row r="293" spans="1:28">
      <c r="A293" s="264">
        <v>37427</v>
      </c>
      <c r="B293" s="264">
        <v>37427</v>
      </c>
      <c r="C293" s="266">
        <v>90</v>
      </c>
      <c r="D293" s="266">
        <v>64</v>
      </c>
      <c r="E293" s="266"/>
      <c r="F293" s="1"/>
      <c r="Z293" s="322">
        <v>37455</v>
      </c>
      <c r="AA293" s="323">
        <v>95.5</v>
      </c>
      <c r="AB293" s="323">
        <v>61</v>
      </c>
    </row>
    <row r="294" spans="1:28">
      <c r="A294" s="264">
        <v>37434</v>
      </c>
      <c r="B294" s="264">
        <v>37434</v>
      </c>
      <c r="C294" s="266">
        <v>89.5</v>
      </c>
      <c r="D294" s="266">
        <v>64</v>
      </c>
      <c r="E294" s="266"/>
      <c r="F294" s="1"/>
      <c r="Z294" s="322">
        <v>37462</v>
      </c>
      <c r="AA294" s="323">
        <v>97.5</v>
      </c>
      <c r="AB294" s="323">
        <v>60.5</v>
      </c>
    </row>
    <row r="295" spans="1:28">
      <c r="A295" s="264">
        <v>37441</v>
      </c>
      <c r="B295" s="264">
        <v>37441</v>
      </c>
      <c r="C295" s="266">
        <v>90</v>
      </c>
      <c r="D295" s="266">
        <v>62</v>
      </c>
      <c r="E295" s="266"/>
      <c r="F295" s="1"/>
      <c r="Z295" s="322">
        <v>37469</v>
      </c>
      <c r="AA295" s="323">
        <v>101</v>
      </c>
      <c r="AB295" s="323">
        <v>64</v>
      </c>
    </row>
    <row r="296" spans="1:28">
      <c r="A296" s="264">
        <v>37448</v>
      </c>
      <c r="B296" s="264">
        <v>37448</v>
      </c>
      <c r="C296" s="266">
        <v>93</v>
      </c>
      <c r="D296" s="266">
        <v>61.5</v>
      </c>
      <c r="E296" s="266"/>
      <c r="F296" s="1"/>
      <c r="Z296" s="322">
        <v>37476</v>
      </c>
      <c r="AA296" s="323">
        <v>101</v>
      </c>
      <c r="AB296" s="323">
        <v>64</v>
      </c>
    </row>
    <row r="297" spans="1:28">
      <c r="A297" s="264">
        <v>37455</v>
      </c>
      <c r="B297" s="264">
        <v>37455</v>
      </c>
      <c r="C297" s="266">
        <v>95.5</v>
      </c>
      <c r="D297" s="266">
        <v>59.5</v>
      </c>
      <c r="E297" s="266"/>
      <c r="F297" s="1"/>
      <c r="Z297" s="322">
        <v>37483</v>
      </c>
      <c r="AA297" s="323">
        <v>101</v>
      </c>
      <c r="AB297" s="323">
        <v>64</v>
      </c>
    </row>
    <row r="298" spans="1:28">
      <c r="A298" s="264">
        <v>37462</v>
      </c>
      <c r="B298" s="264">
        <v>37462</v>
      </c>
      <c r="C298" s="266">
        <v>97.5</v>
      </c>
      <c r="D298" s="266">
        <v>61</v>
      </c>
      <c r="E298" s="266"/>
      <c r="F298" s="1"/>
      <c r="Z298" s="322">
        <v>37490</v>
      </c>
      <c r="AA298" s="323">
        <v>98.5</v>
      </c>
      <c r="AB298" s="323">
        <v>64</v>
      </c>
    </row>
    <row r="299" spans="1:28">
      <c r="A299" s="264">
        <v>37469</v>
      </c>
      <c r="B299" s="264">
        <v>37469</v>
      </c>
      <c r="C299" s="266">
        <v>101</v>
      </c>
      <c r="D299" s="266">
        <v>60.5</v>
      </c>
      <c r="E299" s="266"/>
      <c r="F299" s="1"/>
      <c r="Z299" s="322">
        <v>37497</v>
      </c>
      <c r="AA299" s="323">
        <v>95.5</v>
      </c>
      <c r="AB299" s="323">
        <v>64</v>
      </c>
    </row>
    <row r="300" spans="1:28">
      <c r="A300" s="264">
        <v>37476</v>
      </c>
      <c r="B300" s="264">
        <v>37476</v>
      </c>
      <c r="C300" s="266">
        <v>101</v>
      </c>
      <c r="D300" s="266">
        <v>64</v>
      </c>
      <c r="E300" s="266"/>
      <c r="F300" s="1"/>
      <c r="Z300" s="322">
        <v>37504</v>
      </c>
      <c r="AA300" s="323">
        <v>92</v>
      </c>
      <c r="AB300" s="323">
        <v>59.5</v>
      </c>
    </row>
    <row r="301" spans="1:28">
      <c r="A301" s="264">
        <v>37483</v>
      </c>
      <c r="B301" s="264">
        <v>37483</v>
      </c>
      <c r="C301" s="267">
        <v>101</v>
      </c>
      <c r="D301" s="267">
        <v>64</v>
      </c>
      <c r="E301" s="267"/>
      <c r="F301" s="1"/>
      <c r="Z301" s="322">
        <v>37511</v>
      </c>
      <c r="AA301" s="323">
        <v>90.5</v>
      </c>
      <c r="AB301" s="323">
        <v>59.5</v>
      </c>
    </row>
    <row r="302" spans="1:28">
      <c r="A302" s="264">
        <v>37490</v>
      </c>
      <c r="B302" s="264">
        <v>37490</v>
      </c>
      <c r="C302" s="267">
        <v>98.5</v>
      </c>
      <c r="D302" s="267">
        <v>64</v>
      </c>
      <c r="E302" s="267"/>
      <c r="F302" s="1"/>
      <c r="Z302" s="322">
        <v>37518</v>
      </c>
      <c r="AA302" s="323">
        <v>88.5</v>
      </c>
      <c r="AB302" s="323">
        <v>59.5</v>
      </c>
    </row>
    <row r="303" spans="1:28">
      <c r="A303" s="264">
        <v>37497</v>
      </c>
      <c r="B303" s="264">
        <v>37497</v>
      </c>
      <c r="C303" s="265">
        <v>95.5</v>
      </c>
      <c r="D303" s="265">
        <v>64</v>
      </c>
      <c r="E303" s="265"/>
      <c r="F303" s="1"/>
      <c r="Z303" s="322">
        <v>37525</v>
      </c>
      <c r="AA303" s="323">
        <v>87</v>
      </c>
      <c r="AB303" s="323">
        <v>61</v>
      </c>
    </row>
    <row r="304" spans="1:28">
      <c r="A304" s="264">
        <v>37504</v>
      </c>
      <c r="B304" s="264">
        <v>37504</v>
      </c>
      <c r="C304" s="265">
        <v>92</v>
      </c>
      <c r="D304" s="265">
        <v>64</v>
      </c>
      <c r="E304" s="265"/>
      <c r="F304" s="1"/>
      <c r="Z304" s="322">
        <v>37532</v>
      </c>
      <c r="AA304" s="323">
        <v>89</v>
      </c>
      <c r="AB304" s="323">
        <v>61</v>
      </c>
    </row>
    <row r="305" spans="1:28">
      <c r="A305" s="264">
        <v>37511</v>
      </c>
      <c r="B305" s="264">
        <v>37511</v>
      </c>
      <c r="C305" s="265">
        <v>90.5</v>
      </c>
      <c r="D305" s="265">
        <v>59.5</v>
      </c>
      <c r="E305" s="265"/>
      <c r="F305" s="1"/>
      <c r="Z305" s="322">
        <v>37539</v>
      </c>
      <c r="AA305" s="323">
        <v>90</v>
      </c>
      <c r="AB305" s="323">
        <v>60.5</v>
      </c>
    </row>
    <row r="306" spans="1:28">
      <c r="A306" s="264">
        <v>37518</v>
      </c>
      <c r="B306" s="264">
        <v>37518</v>
      </c>
      <c r="C306" s="265">
        <v>88.5</v>
      </c>
      <c r="D306" s="265">
        <v>59.5</v>
      </c>
      <c r="E306" s="265"/>
      <c r="F306" s="1"/>
      <c r="Z306" s="322">
        <v>37546</v>
      </c>
      <c r="AA306" s="323">
        <v>90</v>
      </c>
      <c r="AB306" s="323">
        <v>58</v>
      </c>
    </row>
    <row r="307" spans="1:28">
      <c r="A307" s="264">
        <v>37525</v>
      </c>
      <c r="B307" s="264">
        <v>37525</v>
      </c>
      <c r="C307" s="265">
        <v>87</v>
      </c>
      <c r="D307" s="265">
        <v>59.5</v>
      </c>
      <c r="E307" s="265"/>
      <c r="F307" s="1"/>
      <c r="Z307" s="322">
        <v>37553</v>
      </c>
      <c r="AA307" s="323">
        <v>89.5</v>
      </c>
      <c r="AB307" s="323">
        <v>56</v>
      </c>
    </row>
    <row r="308" spans="1:28">
      <c r="A308" s="264">
        <v>37532</v>
      </c>
      <c r="B308" s="264">
        <v>37532</v>
      </c>
      <c r="C308" s="265">
        <v>89</v>
      </c>
      <c r="D308" s="265">
        <v>61</v>
      </c>
      <c r="E308" s="265"/>
      <c r="F308" s="1"/>
      <c r="Z308" s="322">
        <v>37560</v>
      </c>
      <c r="AA308" s="323">
        <v>90</v>
      </c>
      <c r="AB308" s="323">
        <v>56</v>
      </c>
    </row>
    <row r="309" spans="1:28">
      <c r="A309" s="264">
        <v>37539</v>
      </c>
      <c r="B309" s="264">
        <v>37539</v>
      </c>
      <c r="C309" s="265">
        <v>90</v>
      </c>
      <c r="D309" s="265">
        <v>61</v>
      </c>
      <c r="E309" s="265"/>
      <c r="F309" s="1"/>
      <c r="Z309" s="322">
        <v>37567</v>
      </c>
      <c r="AA309" s="323">
        <v>90</v>
      </c>
      <c r="AB309" s="323">
        <v>56</v>
      </c>
    </row>
    <row r="310" spans="1:28">
      <c r="A310" s="264">
        <v>37546</v>
      </c>
      <c r="B310" s="264">
        <v>37546</v>
      </c>
      <c r="C310" s="265">
        <v>90</v>
      </c>
      <c r="D310" s="265">
        <v>60.5</v>
      </c>
      <c r="E310" s="265"/>
      <c r="F310" s="1"/>
      <c r="Z310" s="322">
        <v>37574</v>
      </c>
      <c r="AA310" s="323">
        <v>96</v>
      </c>
      <c r="AB310" s="323">
        <v>64</v>
      </c>
    </row>
    <row r="311" spans="1:28">
      <c r="A311" s="264">
        <v>37553</v>
      </c>
      <c r="B311" s="264">
        <v>37553</v>
      </c>
      <c r="C311" s="265">
        <v>89.5</v>
      </c>
      <c r="D311" s="265">
        <v>58</v>
      </c>
      <c r="E311" s="265"/>
      <c r="F311" s="1"/>
      <c r="Z311" s="322">
        <v>37581</v>
      </c>
      <c r="AA311" s="323">
        <v>100</v>
      </c>
      <c r="AB311" s="323">
        <v>62</v>
      </c>
    </row>
    <row r="312" spans="1:28">
      <c r="A312" s="264">
        <v>37560</v>
      </c>
      <c r="B312" s="264">
        <v>37560</v>
      </c>
      <c r="C312" s="265">
        <v>90</v>
      </c>
      <c r="D312" s="265">
        <v>56</v>
      </c>
      <c r="E312" s="265"/>
      <c r="F312" s="1"/>
      <c r="Z312" s="322">
        <v>37588</v>
      </c>
      <c r="AA312" s="323">
        <v>100</v>
      </c>
      <c r="AB312" s="323">
        <v>62</v>
      </c>
    </row>
    <row r="313" spans="1:28">
      <c r="A313" s="264">
        <v>37567</v>
      </c>
      <c r="B313" s="264">
        <v>37567</v>
      </c>
      <c r="C313" s="265">
        <v>90</v>
      </c>
      <c r="D313" s="265">
        <v>56</v>
      </c>
      <c r="E313" s="265"/>
      <c r="F313" s="1"/>
      <c r="Z313" s="322">
        <v>37595</v>
      </c>
      <c r="AA313" s="323">
        <v>100</v>
      </c>
      <c r="AB313" s="323">
        <v>64</v>
      </c>
    </row>
    <row r="314" spans="1:28">
      <c r="A314" s="264">
        <v>37574</v>
      </c>
      <c r="B314" s="264">
        <v>37574</v>
      </c>
      <c r="C314" s="265">
        <v>96</v>
      </c>
      <c r="D314" s="265">
        <v>56</v>
      </c>
      <c r="E314" s="265"/>
      <c r="F314" s="1"/>
      <c r="Z314" s="322">
        <v>37602</v>
      </c>
      <c r="AA314" s="323">
        <v>99</v>
      </c>
      <c r="AB314" s="323">
        <v>67.5</v>
      </c>
    </row>
    <row r="315" spans="1:28">
      <c r="A315" s="264">
        <v>37581</v>
      </c>
      <c r="B315" s="264">
        <v>37581</v>
      </c>
      <c r="C315" s="265">
        <v>100</v>
      </c>
      <c r="D315" s="265">
        <v>64</v>
      </c>
      <c r="E315" s="265"/>
      <c r="F315" s="1"/>
      <c r="Z315" s="322">
        <v>37609</v>
      </c>
      <c r="AA315" s="323">
        <v>96</v>
      </c>
      <c r="AB315" s="323">
        <v>67.5</v>
      </c>
    </row>
    <row r="316" spans="1:28">
      <c r="A316" s="264">
        <v>37588</v>
      </c>
      <c r="B316" s="264">
        <v>37588</v>
      </c>
      <c r="C316" s="265">
        <v>100</v>
      </c>
      <c r="D316" s="265">
        <v>62</v>
      </c>
      <c r="E316" s="265"/>
      <c r="F316" s="1"/>
      <c r="Z316" s="322">
        <v>37623</v>
      </c>
      <c r="AA316" s="323">
        <v>98</v>
      </c>
      <c r="AB316" s="323">
        <v>67.5</v>
      </c>
    </row>
    <row r="317" spans="1:28">
      <c r="A317" s="264">
        <v>37595</v>
      </c>
      <c r="B317" s="264">
        <v>37595</v>
      </c>
      <c r="C317" s="265">
        <v>100</v>
      </c>
      <c r="D317" s="265">
        <v>62</v>
      </c>
      <c r="E317" s="265"/>
      <c r="F317" s="1"/>
      <c r="Z317" s="322">
        <v>37630</v>
      </c>
      <c r="AA317" s="323">
        <v>104.5</v>
      </c>
      <c r="AB317" s="323">
        <v>67.5</v>
      </c>
    </row>
    <row r="318" spans="1:28">
      <c r="A318" s="264">
        <v>37602</v>
      </c>
      <c r="B318" s="264">
        <v>37602</v>
      </c>
      <c r="C318" s="265">
        <v>99</v>
      </c>
      <c r="D318" s="265">
        <v>64</v>
      </c>
      <c r="E318" s="265"/>
      <c r="F318" s="1"/>
      <c r="Z318" s="322">
        <v>37637</v>
      </c>
      <c r="AA318" s="323">
        <v>111</v>
      </c>
      <c r="AB318" s="323">
        <v>77.5</v>
      </c>
    </row>
    <row r="319" spans="1:28">
      <c r="A319" s="264">
        <v>37609</v>
      </c>
      <c r="B319" s="264">
        <v>37609</v>
      </c>
      <c r="C319" s="265">
        <v>96</v>
      </c>
      <c r="D319" s="265">
        <v>67.5</v>
      </c>
      <c r="E319" s="265"/>
      <c r="F319" s="1"/>
      <c r="Z319" s="322">
        <v>37644</v>
      </c>
      <c r="AA319" s="323">
        <v>114.5</v>
      </c>
      <c r="AB319" s="323">
        <v>87.5</v>
      </c>
    </row>
    <row r="320" spans="1:28">
      <c r="A320" s="264">
        <v>37623</v>
      </c>
      <c r="B320" s="264">
        <v>37623</v>
      </c>
      <c r="C320" s="265">
        <v>98</v>
      </c>
      <c r="D320" s="265">
        <v>67.5</v>
      </c>
      <c r="E320" s="265"/>
      <c r="F320" s="1"/>
      <c r="Z320" s="322">
        <v>37651</v>
      </c>
      <c r="AA320" s="323">
        <v>125</v>
      </c>
      <c r="AB320" s="323">
        <v>87.5</v>
      </c>
    </row>
    <row r="321" spans="1:28">
      <c r="A321" s="264">
        <v>37630</v>
      </c>
      <c r="B321" s="264">
        <v>37630</v>
      </c>
      <c r="C321" s="265">
        <v>104.5</v>
      </c>
      <c r="D321" s="265">
        <v>67.5</v>
      </c>
      <c r="E321" s="265"/>
      <c r="F321" s="1"/>
      <c r="Z321" s="322">
        <v>37658</v>
      </c>
      <c r="AA321" s="323">
        <v>125</v>
      </c>
      <c r="AB321" s="323">
        <v>96.5</v>
      </c>
    </row>
    <row r="322" spans="1:28">
      <c r="A322" s="264">
        <v>37637</v>
      </c>
      <c r="B322" s="264">
        <v>37637</v>
      </c>
      <c r="C322" s="265">
        <v>111</v>
      </c>
      <c r="D322" s="265">
        <v>67.5</v>
      </c>
      <c r="E322" s="265"/>
      <c r="F322" s="1"/>
      <c r="Z322" s="322">
        <v>37665</v>
      </c>
      <c r="AA322" s="323">
        <v>125</v>
      </c>
      <c r="AB322" s="323">
        <v>97.5</v>
      </c>
    </row>
    <row r="323" spans="1:28">
      <c r="A323" s="264">
        <v>37644</v>
      </c>
      <c r="B323" s="264">
        <v>37644</v>
      </c>
      <c r="C323" s="265">
        <v>114.5</v>
      </c>
      <c r="D323" s="265">
        <v>77.5</v>
      </c>
      <c r="E323" s="265"/>
      <c r="F323" s="1"/>
      <c r="Z323" s="322">
        <v>37672</v>
      </c>
      <c r="AA323" s="323">
        <v>127.5</v>
      </c>
      <c r="AB323" s="323">
        <v>99</v>
      </c>
    </row>
    <row r="324" spans="1:28">
      <c r="A324" s="264">
        <v>37651</v>
      </c>
      <c r="B324" s="264">
        <v>37651</v>
      </c>
      <c r="C324" s="265">
        <v>125</v>
      </c>
      <c r="D324" s="265">
        <v>87.5</v>
      </c>
      <c r="E324" s="265"/>
      <c r="F324" s="1"/>
      <c r="Z324" s="322">
        <v>37679</v>
      </c>
      <c r="AA324" s="323">
        <v>127.5</v>
      </c>
      <c r="AB324" s="323">
        <v>99</v>
      </c>
    </row>
    <row r="325" spans="1:28">
      <c r="A325" s="264">
        <v>37658</v>
      </c>
      <c r="B325" s="264">
        <v>37658</v>
      </c>
      <c r="C325" s="265">
        <v>125</v>
      </c>
      <c r="D325" s="265">
        <v>87.5</v>
      </c>
      <c r="E325" s="265"/>
      <c r="F325" s="1"/>
      <c r="Z325" s="322">
        <v>37686</v>
      </c>
      <c r="AA325" s="323">
        <v>134</v>
      </c>
      <c r="AB325" s="323">
        <v>99</v>
      </c>
    </row>
    <row r="326" spans="1:28">
      <c r="A326" s="264">
        <v>37665</v>
      </c>
      <c r="B326" s="264">
        <v>37665</v>
      </c>
      <c r="C326" s="265">
        <v>125</v>
      </c>
      <c r="D326" s="265">
        <v>96.5</v>
      </c>
      <c r="E326" s="265"/>
      <c r="F326" s="1"/>
      <c r="Z326" s="322">
        <v>37693</v>
      </c>
      <c r="AA326" s="323">
        <v>134</v>
      </c>
      <c r="AB326" s="323">
        <v>92.5</v>
      </c>
    </row>
    <row r="327" spans="1:28">
      <c r="A327" s="264">
        <v>37672</v>
      </c>
      <c r="B327" s="264">
        <v>37672</v>
      </c>
      <c r="C327" s="265">
        <v>127.5</v>
      </c>
      <c r="D327" s="265">
        <v>97.5</v>
      </c>
      <c r="E327" s="265"/>
      <c r="F327" s="1"/>
      <c r="Z327" s="322">
        <v>37700</v>
      </c>
      <c r="AA327" s="323">
        <v>134</v>
      </c>
      <c r="AB327" s="323">
        <v>91</v>
      </c>
    </row>
    <row r="328" spans="1:28">
      <c r="A328" s="264">
        <v>37679</v>
      </c>
      <c r="B328" s="264">
        <v>37679</v>
      </c>
      <c r="C328" s="265">
        <v>127.5</v>
      </c>
      <c r="D328" s="265">
        <v>99</v>
      </c>
      <c r="E328" s="265"/>
      <c r="F328" s="1"/>
      <c r="Z328" s="322">
        <v>37707</v>
      </c>
      <c r="AA328" s="323">
        <v>125</v>
      </c>
      <c r="AB328" s="323">
        <v>91</v>
      </c>
    </row>
    <row r="329" spans="1:28">
      <c r="A329" s="264">
        <v>37686</v>
      </c>
      <c r="B329" s="264">
        <v>37686</v>
      </c>
      <c r="C329" s="265">
        <v>134</v>
      </c>
      <c r="D329" s="265">
        <v>99</v>
      </c>
      <c r="E329" s="265"/>
      <c r="F329" s="1"/>
      <c r="Z329" s="322">
        <v>37714</v>
      </c>
      <c r="AA329" s="323">
        <v>118</v>
      </c>
      <c r="AB329" s="323">
        <v>89.5</v>
      </c>
    </row>
    <row r="330" spans="1:28">
      <c r="A330" s="264">
        <v>37693</v>
      </c>
      <c r="B330" s="264">
        <v>37693</v>
      </c>
      <c r="C330" s="265">
        <v>134</v>
      </c>
      <c r="D330" s="265">
        <v>99</v>
      </c>
      <c r="E330" s="265"/>
      <c r="F330" s="1"/>
      <c r="Z330" s="322">
        <v>37721</v>
      </c>
      <c r="AA330" s="323">
        <v>112.5</v>
      </c>
      <c r="AB330" s="323">
        <v>67.5</v>
      </c>
    </row>
    <row r="331" spans="1:28">
      <c r="A331" s="264">
        <v>37700</v>
      </c>
      <c r="B331" s="264">
        <v>37700</v>
      </c>
      <c r="C331" s="265">
        <v>134</v>
      </c>
      <c r="D331" s="265">
        <v>92.5</v>
      </c>
      <c r="E331" s="265"/>
      <c r="F331" s="1"/>
      <c r="Z331" s="322">
        <v>37728</v>
      </c>
      <c r="AA331" s="323">
        <v>110.5</v>
      </c>
      <c r="AB331" s="323">
        <v>63.5</v>
      </c>
    </row>
    <row r="332" spans="1:28">
      <c r="A332" s="264">
        <v>37707</v>
      </c>
      <c r="B332" s="264">
        <v>37707</v>
      </c>
      <c r="C332" s="265">
        <v>125</v>
      </c>
      <c r="D332" s="265">
        <v>91</v>
      </c>
      <c r="E332" s="265"/>
      <c r="F332" s="1"/>
      <c r="Z332" s="322">
        <v>37735</v>
      </c>
      <c r="AA332" s="323">
        <v>113.5</v>
      </c>
      <c r="AB332" s="323">
        <v>62.5</v>
      </c>
    </row>
    <row r="333" spans="1:28">
      <c r="A333" s="264">
        <v>37714</v>
      </c>
      <c r="B333" s="264">
        <v>37714</v>
      </c>
      <c r="C333" s="265">
        <v>118</v>
      </c>
      <c r="D333" s="265">
        <v>91</v>
      </c>
      <c r="E333" s="265"/>
      <c r="F333" s="1"/>
      <c r="Z333" s="322">
        <v>37742</v>
      </c>
      <c r="AA333" s="323">
        <v>119</v>
      </c>
      <c r="AB333" s="323">
        <v>69</v>
      </c>
    </row>
    <row r="334" spans="1:28">
      <c r="A334" s="264">
        <v>37721</v>
      </c>
      <c r="B334" s="264">
        <v>37721</v>
      </c>
      <c r="C334" s="265">
        <v>112.5</v>
      </c>
      <c r="D334" s="265">
        <v>89.5</v>
      </c>
      <c r="E334" s="265"/>
      <c r="F334" s="1"/>
      <c r="Z334" s="322">
        <v>37749</v>
      </c>
      <c r="AA334" s="323">
        <v>123.5</v>
      </c>
      <c r="AB334" s="323">
        <v>69</v>
      </c>
    </row>
    <row r="335" spans="1:28">
      <c r="A335" s="264">
        <v>37728</v>
      </c>
      <c r="B335" s="264">
        <v>37728</v>
      </c>
      <c r="C335" s="265">
        <v>110.5</v>
      </c>
      <c r="D335" s="265">
        <v>67.5</v>
      </c>
      <c r="E335" s="265"/>
      <c r="F335" s="1"/>
      <c r="Z335" s="322">
        <v>37756</v>
      </c>
      <c r="AA335" s="323">
        <v>129</v>
      </c>
      <c r="AB335" s="323">
        <v>67.5</v>
      </c>
    </row>
    <row r="336" spans="1:28">
      <c r="A336" s="264">
        <v>37735</v>
      </c>
      <c r="B336" s="264">
        <v>37735</v>
      </c>
      <c r="C336" s="265">
        <v>113.5</v>
      </c>
      <c r="D336" s="265">
        <v>63.5</v>
      </c>
      <c r="E336" s="265"/>
      <c r="F336" s="1"/>
      <c r="Z336" s="322">
        <v>37763</v>
      </c>
      <c r="AA336" s="323">
        <v>129</v>
      </c>
      <c r="AB336" s="323">
        <v>70</v>
      </c>
    </row>
    <row r="337" spans="1:28">
      <c r="A337" s="264">
        <v>37742</v>
      </c>
      <c r="B337" s="264">
        <v>37742</v>
      </c>
      <c r="C337" s="265">
        <v>119</v>
      </c>
      <c r="D337" s="265">
        <v>62.5</v>
      </c>
      <c r="E337" s="265"/>
      <c r="F337" s="1"/>
      <c r="Z337" s="322">
        <v>37770</v>
      </c>
      <c r="AA337" s="323">
        <v>132</v>
      </c>
      <c r="AB337" s="323">
        <v>69</v>
      </c>
    </row>
    <row r="338" spans="1:28">
      <c r="A338" s="264">
        <v>37749</v>
      </c>
      <c r="B338" s="264">
        <v>37749</v>
      </c>
      <c r="C338" s="265">
        <v>123.5</v>
      </c>
      <c r="D338" s="265">
        <v>69</v>
      </c>
      <c r="E338" s="265"/>
      <c r="F338" s="1"/>
      <c r="Z338" s="322">
        <v>37777</v>
      </c>
      <c r="AA338" s="323">
        <v>130</v>
      </c>
      <c r="AB338" s="323">
        <v>69</v>
      </c>
    </row>
    <row r="339" spans="1:28">
      <c r="A339" s="264">
        <v>37756</v>
      </c>
      <c r="B339" s="264">
        <v>37756</v>
      </c>
      <c r="C339" s="265">
        <v>129</v>
      </c>
      <c r="D339" s="265">
        <v>69</v>
      </c>
      <c r="E339" s="265"/>
      <c r="F339" s="1"/>
      <c r="Z339" s="322">
        <v>37784</v>
      </c>
      <c r="AA339" s="323">
        <v>129</v>
      </c>
      <c r="AB339" s="323">
        <v>73</v>
      </c>
    </row>
    <row r="340" spans="1:28">
      <c r="A340" s="264">
        <v>37763</v>
      </c>
      <c r="B340" s="264">
        <v>37763</v>
      </c>
      <c r="C340" s="265">
        <v>129</v>
      </c>
      <c r="D340" s="265">
        <v>67.5</v>
      </c>
      <c r="E340" s="265"/>
      <c r="F340" s="1"/>
      <c r="Z340" s="322">
        <v>37791</v>
      </c>
      <c r="AA340" s="323">
        <v>132</v>
      </c>
      <c r="AB340" s="323">
        <v>73</v>
      </c>
    </row>
    <row r="341" spans="1:28">
      <c r="A341" s="264">
        <v>37770</v>
      </c>
      <c r="B341" s="264">
        <v>37770</v>
      </c>
      <c r="C341" s="265">
        <v>132</v>
      </c>
      <c r="D341" s="265">
        <v>70</v>
      </c>
      <c r="E341" s="265"/>
      <c r="F341" s="1"/>
      <c r="Z341" s="322">
        <v>37798</v>
      </c>
      <c r="AA341" s="323">
        <v>139</v>
      </c>
      <c r="AB341" s="323">
        <v>82.5</v>
      </c>
    </row>
    <row r="342" spans="1:28">
      <c r="A342" s="264">
        <v>37777</v>
      </c>
      <c r="B342" s="264">
        <v>37777</v>
      </c>
      <c r="C342" s="265">
        <v>130</v>
      </c>
      <c r="D342" s="265">
        <v>69</v>
      </c>
      <c r="E342" s="265"/>
      <c r="F342" s="1"/>
      <c r="Z342" s="322">
        <v>37805</v>
      </c>
      <c r="AA342" s="323">
        <v>141</v>
      </c>
      <c r="AB342" s="323">
        <v>84</v>
      </c>
    </row>
    <row r="343" spans="1:28">
      <c r="A343" s="264">
        <v>37784</v>
      </c>
      <c r="B343" s="264">
        <v>37784</v>
      </c>
      <c r="C343" s="265">
        <v>129</v>
      </c>
      <c r="D343" s="265">
        <v>69</v>
      </c>
      <c r="E343" s="265"/>
      <c r="F343" s="1"/>
      <c r="Z343" s="322">
        <v>37812</v>
      </c>
      <c r="AA343" s="323">
        <v>142</v>
      </c>
      <c r="AB343" s="323">
        <v>81</v>
      </c>
    </row>
    <row r="344" spans="1:28">
      <c r="A344" s="264">
        <v>37791</v>
      </c>
      <c r="B344" s="264">
        <v>37791</v>
      </c>
      <c r="C344" s="265">
        <v>132</v>
      </c>
      <c r="D344" s="265">
        <v>73</v>
      </c>
      <c r="E344" s="265"/>
      <c r="F344" s="1"/>
      <c r="Z344" s="322">
        <v>37819</v>
      </c>
      <c r="AA344" s="323">
        <v>139.5</v>
      </c>
      <c r="AB344" s="323">
        <v>81</v>
      </c>
    </row>
    <row r="345" spans="1:28">
      <c r="A345" s="264">
        <v>37798</v>
      </c>
      <c r="B345" s="264">
        <v>37798</v>
      </c>
      <c r="C345" s="265">
        <v>139</v>
      </c>
      <c r="D345" s="265">
        <v>73</v>
      </c>
      <c r="E345" s="265"/>
      <c r="F345" s="1"/>
      <c r="Z345" s="322">
        <v>37826</v>
      </c>
      <c r="AA345" s="323">
        <v>136</v>
      </c>
      <c r="AB345" s="323">
        <v>80.5</v>
      </c>
    </row>
    <row r="346" spans="1:28">
      <c r="A346" s="264">
        <v>37805</v>
      </c>
      <c r="B346" s="264">
        <v>37805</v>
      </c>
      <c r="C346" s="265">
        <v>141</v>
      </c>
      <c r="D346" s="265">
        <v>82.5</v>
      </c>
      <c r="E346" s="265"/>
      <c r="F346" s="1"/>
      <c r="Z346" s="322">
        <v>37833</v>
      </c>
      <c r="AA346" s="323">
        <v>129.5</v>
      </c>
      <c r="AB346" s="323">
        <v>83</v>
      </c>
    </row>
    <row r="347" spans="1:28">
      <c r="A347" s="264">
        <v>37812</v>
      </c>
      <c r="B347" s="264">
        <v>37812</v>
      </c>
      <c r="C347" s="265">
        <v>142</v>
      </c>
      <c r="D347" s="265">
        <v>84</v>
      </c>
      <c r="E347" s="265"/>
      <c r="F347" s="1"/>
      <c r="Z347" s="322">
        <v>37840</v>
      </c>
      <c r="AA347" s="323">
        <v>139.5</v>
      </c>
      <c r="AB347" s="323">
        <v>84.5</v>
      </c>
    </row>
    <row r="348" spans="1:28">
      <c r="A348" s="264">
        <v>37819</v>
      </c>
      <c r="B348" s="264">
        <v>37819</v>
      </c>
      <c r="C348" s="265">
        <v>139.5</v>
      </c>
      <c r="D348" s="265">
        <v>81</v>
      </c>
      <c r="E348" s="265"/>
      <c r="F348" s="1"/>
      <c r="Z348" s="322">
        <v>37847</v>
      </c>
      <c r="AA348" s="323">
        <v>144.5</v>
      </c>
      <c r="AB348" s="323">
        <v>91</v>
      </c>
    </row>
    <row r="349" spans="1:28">
      <c r="A349" s="264">
        <v>37826</v>
      </c>
      <c r="B349" s="264">
        <v>37826</v>
      </c>
      <c r="C349" s="265">
        <v>136</v>
      </c>
      <c r="D349" s="265">
        <v>81</v>
      </c>
      <c r="E349" s="265"/>
      <c r="F349" s="1"/>
      <c r="Z349" s="322">
        <v>37854</v>
      </c>
      <c r="AA349" s="323">
        <v>149.5</v>
      </c>
      <c r="AB349" s="323">
        <v>91</v>
      </c>
    </row>
    <row r="350" spans="1:28">
      <c r="A350" s="264">
        <v>37833</v>
      </c>
      <c r="B350" s="264">
        <v>37833</v>
      </c>
      <c r="C350" s="265">
        <v>129.5</v>
      </c>
      <c r="D350" s="265">
        <v>80.5</v>
      </c>
      <c r="E350" s="265"/>
      <c r="F350" s="1"/>
      <c r="Z350" s="322">
        <v>37861</v>
      </c>
      <c r="AA350" s="323">
        <v>149</v>
      </c>
      <c r="AB350" s="323">
        <v>91</v>
      </c>
    </row>
    <row r="351" spans="1:28">
      <c r="A351" s="264">
        <v>37840</v>
      </c>
      <c r="B351" s="264">
        <v>37840</v>
      </c>
      <c r="C351" s="265">
        <v>139.5</v>
      </c>
      <c r="D351" s="265">
        <v>83</v>
      </c>
      <c r="E351" s="265"/>
      <c r="F351" s="1"/>
      <c r="Z351" s="322">
        <v>37868</v>
      </c>
      <c r="AA351" s="323">
        <v>143.5</v>
      </c>
      <c r="AB351" s="323">
        <v>92</v>
      </c>
    </row>
    <row r="352" spans="1:28">
      <c r="A352" s="264">
        <v>37847</v>
      </c>
      <c r="B352" s="264">
        <v>37847</v>
      </c>
      <c r="C352" s="265">
        <v>144.5</v>
      </c>
      <c r="D352" s="265">
        <v>84.5</v>
      </c>
      <c r="E352" s="265"/>
      <c r="F352" s="1"/>
      <c r="Z352" s="322">
        <v>37875</v>
      </c>
      <c r="AA352" s="323">
        <v>143.5</v>
      </c>
      <c r="AB352" s="323">
        <v>96</v>
      </c>
    </row>
    <row r="353" spans="1:28">
      <c r="A353" s="264">
        <v>37854</v>
      </c>
      <c r="B353" s="264">
        <v>37854</v>
      </c>
      <c r="C353" s="265">
        <v>149.5</v>
      </c>
      <c r="D353" s="265">
        <v>91</v>
      </c>
      <c r="E353" s="265"/>
      <c r="F353" s="1"/>
      <c r="Z353" s="322">
        <v>37882</v>
      </c>
      <c r="AA353" s="323">
        <v>149</v>
      </c>
      <c r="AB353" s="323">
        <v>97.5</v>
      </c>
    </row>
    <row r="354" spans="1:28">
      <c r="A354" s="264">
        <v>37861</v>
      </c>
      <c r="B354" s="264">
        <v>37861</v>
      </c>
      <c r="C354" s="265">
        <v>149</v>
      </c>
      <c r="D354" s="265">
        <v>91</v>
      </c>
      <c r="E354" s="265"/>
      <c r="F354" s="1"/>
      <c r="Z354" s="322">
        <v>37889</v>
      </c>
      <c r="AA354" s="323">
        <v>151.5</v>
      </c>
      <c r="AB354" s="323">
        <v>103.5</v>
      </c>
    </row>
    <row r="355" spans="1:28">
      <c r="A355" s="264">
        <v>37868</v>
      </c>
      <c r="B355" s="264">
        <v>37868</v>
      </c>
      <c r="C355" s="265">
        <v>143.5</v>
      </c>
      <c r="D355" s="265">
        <v>91</v>
      </c>
      <c r="E355" s="265"/>
      <c r="F355" s="1"/>
      <c r="Z355" s="322">
        <v>37896</v>
      </c>
      <c r="AA355" s="323">
        <v>153</v>
      </c>
      <c r="AB355" s="323">
        <v>116</v>
      </c>
    </row>
    <row r="356" spans="1:28">
      <c r="A356" s="264">
        <v>37875</v>
      </c>
      <c r="B356" s="264">
        <v>37875</v>
      </c>
      <c r="C356" s="265">
        <v>143.5</v>
      </c>
      <c r="D356" s="265">
        <v>92</v>
      </c>
      <c r="E356" s="265"/>
      <c r="F356" s="1"/>
      <c r="Z356" s="322">
        <v>37903</v>
      </c>
      <c r="AA356" s="323">
        <v>153</v>
      </c>
      <c r="AB356" s="323">
        <v>117</v>
      </c>
    </row>
    <row r="357" spans="1:28">
      <c r="A357" s="264">
        <v>37882</v>
      </c>
      <c r="B357" s="264">
        <v>37882</v>
      </c>
      <c r="C357" s="265">
        <v>149</v>
      </c>
      <c r="D357" s="265">
        <v>96</v>
      </c>
      <c r="E357" s="265"/>
      <c r="F357" s="1"/>
      <c r="Z357" s="322">
        <v>37910</v>
      </c>
      <c r="AA357" s="323">
        <v>151</v>
      </c>
      <c r="AB357" s="323">
        <v>117</v>
      </c>
    </row>
    <row r="358" spans="1:28">
      <c r="A358" s="264">
        <v>37889</v>
      </c>
      <c r="B358" s="264">
        <v>37889</v>
      </c>
      <c r="C358" s="265">
        <v>151.5</v>
      </c>
      <c r="D358" s="265">
        <v>97.5</v>
      </c>
      <c r="E358" s="265"/>
      <c r="F358" s="1"/>
      <c r="Z358" s="322">
        <v>37917</v>
      </c>
      <c r="AA358" s="323">
        <v>148</v>
      </c>
      <c r="AB358" s="323">
        <v>117</v>
      </c>
    </row>
    <row r="359" spans="1:28">
      <c r="A359" s="264">
        <v>37896</v>
      </c>
      <c r="B359" s="264">
        <v>37896</v>
      </c>
      <c r="C359" s="266">
        <v>153</v>
      </c>
      <c r="D359" s="266">
        <v>103.5</v>
      </c>
      <c r="E359" s="266"/>
      <c r="F359" s="1"/>
      <c r="Z359" s="322">
        <v>37924</v>
      </c>
      <c r="AA359" s="323">
        <v>146</v>
      </c>
      <c r="AB359" s="323">
        <v>115</v>
      </c>
    </row>
    <row r="360" spans="1:28">
      <c r="A360" s="264">
        <v>37903</v>
      </c>
      <c r="B360" s="264">
        <v>37903</v>
      </c>
      <c r="C360" s="265">
        <v>153</v>
      </c>
      <c r="D360" s="265">
        <v>116</v>
      </c>
      <c r="E360" s="265"/>
      <c r="F360" s="1"/>
      <c r="Z360" s="322">
        <v>37931</v>
      </c>
      <c r="AA360" s="323">
        <v>150</v>
      </c>
      <c r="AB360" s="323">
        <v>114</v>
      </c>
    </row>
    <row r="361" spans="1:28">
      <c r="A361" s="264">
        <v>37910</v>
      </c>
      <c r="B361" s="264">
        <v>37910</v>
      </c>
      <c r="C361" s="265">
        <v>151</v>
      </c>
      <c r="D361" s="265">
        <v>117</v>
      </c>
      <c r="E361" s="265"/>
      <c r="F361" s="1"/>
      <c r="Z361" s="322">
        <v>37938</v>
      </c>
      <c r="AA361" s="323">
        <v>154</v>
      </c>
      <c r="AB361" s="323">
        <v>112.5</v>
      </c>
    </row>
    <row r="362" spans="1:28">
      <c r="A362" s="264">
        <v>37917</v>
      </c>
      <c r="B362" s="264">
        <v>37917</v>
      </c>
      <c r="C362" s="265">
        <v>148</v>
      </c>
      <c r="D362" s="265">
        <v>117</v>
      </c>
      <c r="E362" s="265"/>
      <c r="F362" s="1"/>
      <c r="Z362" s="322">
        <v>37945</v>
      </c>
      <c r="AA362" s="323">
        <v>151</v>
      </c>
      <c r="AB362" s="323">
        <v>112.5</v>
      </c>
    </row>
    <row r="363" spans="1:28">
      <c r="A363" s="264">
        <v>37924</v>
      </c>
      <c r="B363" s="264">
        <v>37924</v>
      </c>
      <c r="C363" s="266">
        <v>146</v>
      </c>
      <c r="D363" s="266">
        <v>117</v>
      </c>
      <c r="E363" s="266"/>
      <c r="F363" s="1"/>
      <c r="Z363" s="322">
        <v>37952</v>
      </c>
      <c r="AA363" s="323">
        <v>155.5</v>
      </c>
      <c r="AB363" s="323">
        <v>116</v>
      </c>
    </row>
    <row r="364" spans="1:28">
      <c r="A364" s="264">
        <v>37931</v>
      </c>
      <c r="B364" s="264">
        <v>37931</v>
      </c>
      <c r="C364" s="266">
        <v>150</v>
      </c>
      <c r="D364" s="266">
        <v>115</v>
      </c>
      <c r="E364" s="266"/>
      <c r="F364" s="1"/>
      <c r="Z364" s="322">
        <v>37959</v>
      </c>
      <c r="AA364" s="323">
        <v>156.5</v>
      </c>
      <c r="AB364" s="323">
        <v>119</v>
      </c>
    </row>
    <row r="365" spans="1:28">
      <c r="A365" s="264">
        <v>37938</v>
      </c>
      <c r="B365" s="264">
        <v>37938</v>
      </c>
      <c r="C365" s="266">
        <v>154</v>
      </c>
      <c r="D365" s="266">
        <v>114</v>
      </c>
      <c r="E365" s="266"/>
      <c r="F365" s="1"/>
      <c r="Z365" s="322">
        <v>37966</v>
      </c>
      <c r="AA365" s="323">
        <v>158.5</v>
      </c>
      <c r="AB365" s="323">
        <v>121</v>
      </c>
    </row>
    <row r="366" spans="1:28">
      <c r="A366" s="264">
        <v>37945</v>
      </c>
      <c r="B366" s="264">
        <v>37945</v>
      </c>
      <c r="C366" s="266">
        <v>151</v>
      </c>
      <c r="D366" s="266">
        <v>112.5</v>
      </c>
      <c r="E366" s="266"/>
      <c r="F366" s="1"/>
      <c r="Z366" s="322">
        <v>37973</v>
      </c>
      <c r="AA366" s="323">
        <v>157</v>
      </c>
      <c r="AB366" s="323">
        <v>125.5</v>
      </c>
    </row>
    <row r="367" spans="1:28">
      <c r="A367" s="264">
        <v>37952</v>
      </c>
      <c r="B367" s="264">
        <v>37952</v>
      </c>
      <c r="C367" s="266">
        <v>155.5</v>
      </c>
      <c r="D367" s="266">
        <v>112.5</v>
      </c>
      <c r="E367" s="266"/>
      <c r="F367" s="1"/>
      <c r="Z367" s="322">
        <v>37988</v>
      </c>
      <c r="AA367" s="323">
        <v>156.5</v>
      </c>
      <c r="AB367" s="323">
        <v>127.5</v>
      </c>
    </row>
    <row r="368" spans="1:28">
      <c r="A368" s="264">
        <v>37959</v>
      </c>
      <c r="B368" s="264">
        <v>37959</v>
      </c>
      <c r="C368" s="266">
        <v>156.5</v>
      </c>
      <c r="D368" s="266">
        <v>116</v>
      </c>
      <c r="E368" s="266"/>
      <c r="F368" s="1"/>
      <c r="Z368" s="322">
        <v>37994</v>
      </c>
      <c r="AA368" s="323">
        <v>156.5</v>
      </c>
      <c r="AB368" s="323">
        <v>130</v>
      </c>
    </row>
    <row r="369" spans="1:28">
      <c r="A369" s="264">
        <v>37966</v>
      </c>
      <c r="B369" s="264">
        <v>37966</v>
      </c>
      <c r="C369" s="266">
        <v>158.5</v>
      </c>
      <c r="D369" s="266">
        <v>119</v>
      </c>
      <c r="E369" s="266"/>
      <c r="F369" s="1"/>
      <c r="Z369" s="322">
        <v>38001</v>
      </c>
      <c r="AA369" s="323">
        <v>153</v>
      </c>
      <c r="AB369" s="323">
        <v>132.5</v>
      </c>
    </row>
    <row r="370" spans="1:28">
      <c r="A370" s="264">
        <v>37973</v>
      </c>
      <c r="B370" s="264">
        <v>37973</v>
      </c>
      <c r="C370" s="266">
        <v>157</v>
      </c>
      <c r="D370" s="266">
        <v>121</v>
      </c>
      <c r="E370" s="266"/>
      <c r="F370" s="1"/>
      <c r="Z370" s="322">
        <v>38008</v>
      </c>
      <c r="AA370" s="323">
        <v>149</v>
      </c>
      <c r="AB370" s="323">
        <v>130</v>
      </c>
    </row>
    <row r="371" spans="1:28">
      <c r="A371" s="264">
        <v>37988</v>
      </c>
      <c r="B371" s="264">
        <v>37988</v>
      </c>
      <c r="C371" s="266">
        <v>156.5</v>
      </c>
      <c r="D371" s="266">
        <v>125.5</v>
      </c>
      <c r="E371" s="266"/>
      <c r="F371" s="1"/>
      <c r="Z371" s="322">
        <v>38015</v>
      </c>
      <c r="AA371" s="323">
        <v>141.5</v>
      </c>
      <c r="AB371" s="323">
        <v>119</v>
      </c>
    </row>
    <row r="372" spans="1:28">
      <c r="A372" s="264">
        <v>37994</v>
      </c>
      <c r="B372" s="264">
        <v>37994</v>
      </c>
      <c r="C372" s="266">
        <v>156.5</v>
      </c>
      <c r="D372" s="266">
        <v>127.5</v>
      </c>
      <c r="E372" s="266"/>
      <c r="F372" s="1"/>
      <c r="Z372" s="322">
        <v>38022</v>
      </c>
      <c r="AA372" s="323">
        <v>127.5</v>
      </c>
      <c r="AB372" s="323">
        <v>117.5</v>
      </c>
    </row>
    <row r="373" spans="1:28">
      <c r="A373" s="264">
        <v>38001</v>
      </c>
      <c r="B373" s="264">
        <v>38001</v>
      </c>
      <c r="C373" s="266">
        <v>153</v>
      </c>
      <c r="D373" s="266">
        <v>130</v>
      </c>
      <c r="E373" s="266"/>
      <c r="F373" s="1"/>
      <c r="Z373" s="322">
        <v>38029</v>
      </c>
      <c r="AA373" s="323">
        <v>120</v>
      </c>
      <c r="AB373" s="323">
        <v>117.5</v>
      </c>
    </row>
    <row r="374" spans="1:28">
      <c r="A374" s="264">
        <v>38008</v>
      </c>
      <c r="B374" s="264">
        <v>38008</v>
      </c>
      <c r="C374" s="266">
        <v>149</v>
      </c>
      <c r="D374" s="266">
        <v>132.5</v>
      </c>
      <c r="E374" s="266"/>
      <c r="F374" s="1"/>
      <c r="Z374" s="322">
        <v>38036</v>
      </c>
      <c r="AA374" s="323">
        <v>124</v>
      </c>
      <c r="AB374" s="323">
        <v>116.5</v>
      </c>
    </row>
    <row r="375" spans="1:28">
      <c r="A375" s="264">
        <v>38015</v>
      </c>
      <c r="B375" s="264">
        <v>38015</v>
      </c>
      <c r="C375" s="266">
        <v>141.5</v>
      </c>
      <c r="D375" s="266">
        <v>130</v>
      </c>
      <c r="E375" s="266"/>
      <c r="F375" s="1"/>
      <c r="Z375" s="322">
        <v>38043</v>
      </c>
      <c r="AA375" s="323">
        <v>126</v>
      </c>
      <c r="AB375" s="323">
        <v>125</v>
      </c>
    </row>
    <row r="376" spans="1:28">
      <c r="A376" s="264">
        <v>38022</v>
      </c>
      <c r="B376" s="264">
        <v>38022</v>
      </c>
      <c r="C376" s="266">
        <v>127.5</v>
      </c>
      <c r="D376" s="266">
        <v>119</v>
      </c>
      <c r="E376" s="266"/>
      <c r="F376" s="1"/>
      <c r="Z376" s="322">
        <v>38050</v>
      </c>
      <c r="AA376" s="323">
        <v>124.5</v>
      </c>
      <c r="AB376" s="323">
        <v>125</v>
      </c>
    </row>
    <row r="377" spans="1:28">
      <c r="A377" s="264">
        <v>38029</v>
      </c>
      <c r="B377" s="264">
        <v>38029</v>
      </c>
      <c r="C377" s="266">
        <v>120</v>
      </c>
      <c r="D377" s="266">
        <v>117.5</v>
      </c>
      <c r="E377" s="266"/>
      <c r="F377" s="1"/>
      <c r="Z377" s="322">
        <v>38057</v>
      </c>
      <c r="AA377" s="323">
        <v>126.5</v>
      </c>
      <c r="AB377" s="323">
        <v>125</v>
      </c>
    </row>
    <row r="378" spans="1:28">
      <c r="A378" s="264">
        <v>38036</v>
      </c>
      <c r="B378" s="264">
        <v>38036</v>
      </c>
      <c r="C378" s="266">
        <v>124</v>
      </c>
      <c r="D378" s="266">
        <v>117.5</v>
      </c>
      <c r="E378" s="266"/>
      <c r="F378" s="1"/>
      <c r="Z378" s="322">
        <v>38064</v>
      </c>
      <c r="AA378" s="323">
        <v>130</v>
      </c>
      <c r="AB378" s="323">
        <v>131</v>
      </c>
    </row>
    <row r="379" spans="1:28">
      <c r="A379" s="264">
        <v>38043</v>
      </c>
      <c r="B379" s="264">
        <v>38043</v>
      </c>
      <c r="C379" s="266">
        <v>126</v>
      </c>
      <c r="D379" s="266">
        <v>116.5</v>
      </c>
      <c r="E379" s="266"/>
      <c r="F379" s="1"/>
      <c r="Z379" s="322">
        <v>38071</v>
      </c>
      <c r="AA379" s="323">
        <v>125</v>
      </c>
      <c r="AB379" s="323">
        <v>131</v>
      </c>
    </row>
    <row r="380" spans="1:28">
      <c r="A380" s="264">
        <v>38050</v>
      </c>
      <c r="B380" s="264">
        <v>38050</v>
      </c>
      <c r="C380" s="266">
        <v>124.5</v>
      </c>
      <c r="D380" s="266">
        <v>125</v>
      </c>
      <c r="E380" s="266"/>
      <c r="F380" s="1"/>
      <c r="Z380" s="322">
        <v>38078</v>
      </c>
      <c r="AA380" s="323">
        <v>127.5</v>
      </c>
      <c r="AB380" s="323">
        <v>112.5</v>
      </c>
    </row>
    <row r="381" spans="1:28">
      <c r="A381" s="264">
        <v>38057</v>
      </c>
      <c r="B381" s="264">
        <v>38057</v>
      </c>
      <c r="C381" s="266">
        <v>126.5</v>
      </c>
      <c r="D381" s="266">
        <v>125</v>
      </c>
      <c r="E381" s="266"/>
      <c r="F381" s="1"/>
      <c r="Z381" s="322">
        <v>38085</v>
      </c>
      <c r="AA381" s="323">
        <v>131</v>
      </c>
      <c r="AB381" s="323">
        <v>100</v>
      </c>
    </row>
    <row r="382" spans="1:28">
      <c r="A382" s="264">
        <v>38064</v>
      </c>
      <c r="B382" s="264">
        <v>38064</v>
      </c>
      <c r="C382" s="266">
        <v>130</v>
      </c>
      <c r="D382" s="266">
        <v>125</v>
      </c>
      <c r="E382" s="266"/>
      <c r="F382" s="1"/>
      <c r="Z382" s="322">
        <v>38092</v>
      </c>
      <c r="AA382" s="323">
        <v>129</v>
      </c>
      <c r="AB382" s="323">
        <v>95</v>
      </c>
    </row>
    <row r="383" spans="1:28">
      <c r="A383" s="264">
        <v>38071</v>
      </c>
      <c r="B383" s="264">
        <v>38071</v>
      </c>
      <c r="C383" s="266">
        <v>125</v>
      </c>
      <c r="D383" s="266">
        <v>131</v>
      </c>
      <c r="E383" s="266"/>
      <c r="F383" s="1"/>
      <c r="Z383" s="322">
        <v>38099</v>
      </c>
      <c r="AA383" s="323">
        <v>127</v>
      </c>
      <c r="AB383" s="323">
        <v>92</v>
      </c>
    </row>
    <row r="384" spans="1:28">
      <c r="A384" s="264">
        <v>38078</v>
      </c>
      <c r="B384" s="264">
        <v>38078</v>
      </c>
      <c r="C384" s="266">
        <v>127.5</v>
      </c>
      <c r="D384" s="266">
        <v>131</v>
      </c>
      <c r="E384" s="266"/>
      <c r="F384" s="1"/>
      <c r="Z384" s="322">
        <v>38106</v>
      </c>
      <c r="AA384" s="323">
        <v>132</v>
      </c>
      <c r="AB384" s="323">
        <v>90</v>
      </c>
    </row>
    <row r="385" spans="1:28">
      <c r="A385" s="264">
        <v>38085</v>
      </c>
      <c r="B385" s="264">
        <v>38085</v>
      </c>
      <c r="C385" s="266">
        <v>131</v>
      </c>
      <c r="D385" s="266">
        <v>112.5</v>
      </c>
      <c r="E385" s="266"/>
      <c r="F385" s="1"/>
      <c r="Z385" s="322">
        <v>38113</v>
      </c>
      <c r="AA385" s="323">
        <v>129</v>
      </c>
      <c r="AB385" s="323">
        <v>89</v>
      </c>
    </row>
    <row r="386" spans="1:28">
      <c r="A386" s="264">
        <v>38092</v>
      </c>
      <c r="B386" s="264">
        <v>38092</v>
      </c>
      <c r="C386" s="266">
        <v>129</v>
      </c>
      <c r="D386" s="266">
        <v>100</v>
      </c>
      <c r="E386" s="266"/>
      <c r="F386" s="1"/>
      <c r="Z386" s="322">
        <v>38120</v>
      </c>
      <c r="AA386" s="323">
        <v>136.5</v>
      </c>
      <c r="AB386" s="323">
        <v>97.5</v>
      </c>
    </row>
    <row r="387" spans="1:28">
      <c r="A387" s="264">
        <v>38099</v>
      </c>
      <c r="B387" s="264">
        <v>38099</v>
      </c>
      <c r="C387" s="266">
        <v>127</v>
      </c>
      <c r="D387" s="266">
        <v>95</v>
      </c>
      <c r="E387" s="266"/>
      <c r="F387" s="1"/>
      <c r="Z387" s="322">
        <v>38127</v>
      </c>
      <c r="AA387" s="323">
        <v>141</v>
      </c>
      <c r="AB387" s="323">
        <v>116.5</v>
      </c>
    </row>
    <row r="388" spans="1:28">
      <c r="A388" s="264">
        <v>38106</v>
      </c>
      <c r="B388" s="264">
        <v>38106</v>
      </c>
      <c r="C388" s="266">
        <v>132</v>
      </c>
      <c r="D388" s="266">
        <v>92</v>
      </c>
      <c r="E388" s="266"/>
      <c r="F388" s="1"/>
      <c r="Z388" s="322">
        <v>38141</v>
      </c>
      <c r="AA388" s="323">
        <v>146</v>
      </c>
      <c r="AB388" s="323">
        <v>118.5</v>
      </c>
    </row>
    <row r="389" spans="1:28">
      <c r="A389" s="264">
        <v>38113</v>
      </c>
      <c r="B389" s="264">
        <v>38113</v>
      </c>
      <c r="C389" s="266">
        <v>129</v>
      </c>
      <c r="D389" s="266">
        <v>90</v>
      </c>
      <c r="E389" s="266"/>
      <c r="F389" s="1"/>
      <c r="Z389" s="322">
        <v>38148</v>
      </c>
      <c r="AA389" s="323">
        <v>161</v>
      </c>
      <c r="AB389" s="323">
        <v>120</v>
      </c>
    </row>
    <row r="390" spans="1:28">
      <c r="A390" s="264">
        <v>38120</v>
      </c>
      <c r="B390" s="264">
        <v>38120</v>
      </c>
      <c r="C390" s="266">
        <v>136.5</v>
      </c>
      <c r="D390" s="266">
        <v>89</v>
      </c>
      <c r="E390" s="266"/>
      <c r="F390" s="1"/>
      <c r="Z390" s="322">
        <v>38155</v>
      </c>
      <c r="AA390" s="323">
        <v>163</v>
      </c>
      <c r="AB390" s="323">
        <v>120.5</v>
      </c>
    </row>
    <row r="391" spans="1:28">
      <c r="A391" s="264">
        <v>38127</v>
      </c>
      <c r="B391" s="264">
        <v>38127</v>
      </c>
      <c r="C391" s="266">
        <v>141</v>
      </c>
      <c r="D391" s="266">
        <v>97.5</v>
      </c>
      <c r="E391" s="266"/>
      <c r="F391" s="1"/>
      <c r="Z391" s="322">
        <v>38162</v>
      </c>
      <c r="AA391" s="323">
        <v>166</v>
      </c>
      <c r="AB391" s="323">
        <v>120</v>
      </c>
    </row>
    <row r="392" spans="1:28">
      <c r="A392" s="264">
        <v>38141</v>
      </c>
      <c r="B392" s="264">
        <v>38141</v>
      </c>
      <c r="C392" s="266">
        <v>146</v>
      </c>
      <c r="D392" s="266">
        <v>116.5</v>
      </c>
      <c r="E392" s="266"/>
      <c r="F392" s="1"/>
      <c r="Z392" s="322">
        <v>38169</v>
      </c>
      <c r="AA392" s="323">
        <v>176</v>
      </c>
      <c r="AB392" s="323">
        <v>112.5</v>
      </c>
    </row>
    <row r="393" spans="1:28">
      <c r="A393" s="264">
        <v>38148</v>
      </c>
      <c r="B393" s="264">
        <v>38148</v>
      </c>
      <c r="C393" s="266">
        <v>161</v>
      </c>
      <c r="D393" s="266">
        <v>118.5</v>
      </c>
      <c r="E393" s="266"/>
      <c r="F393" s="1"/>
      <c r="Z393" s="322">
        <v>38176</v>
      </c>
      <c r="AA393" s="323">
        <v>186.5</v>
      </c>
      <c r="AB393" s="323">
        <v>128.5</v>
      </c>
    </row>
    <row r="394" spans="1:28">
      <c r="A394" s="264">
        <v>38155</v>
      </c>
      <c r="B394" s="264">
        <v>38155</v>
      </c>
      <c r="C394" s="266">
        <v>163</v>
      </c>
      <c r="D394" s="266">
        <v>120</v>
      </c>
      <c r="E394" s="266"/>
      <c r="F394" s="1"/>
      <c r="Z394" s="322">
        <v>38183</v>
      </c>
      <c r="AA394" s="323">
        <v>200</v>
      </c>
      <c r="AB394" s="323">
        <v>128.5</v>
      </c>
    </row>
    <row r="395" spans="1:28">
      <c r="A395" s="264">
        <v>38162</v>
      </c>
      <c r="B395" s="264">
        <v>38162</v>
      </c>
      <c r="C395" s="266">
        <v>166</v>
      </c>
      <c r="D395" s="266">
        <v>120.5</v>
      </c>
      <c r="E395" s="266"/>
      <c r="F395" s="1"/>
      <c r="Z395" s="322">
        <v>38190</v>
      </c>
      <c r="AA395" s="323">
        <v>208.5</v>
      </c>
      <c r="AB395" s="323">
        <v>123</v>
      </c>
    </row>
    <row r="396" spans="1:28">
      <c r="A396" s="264">
        <v>38169</v>
      </c>
      <c r="B396" s="264">
        <v>38169</v>
      </c>
      <c r="C396" s="266">
        <v>176</v>
      </c>
      <c r="D396" s="266">
        <v>120</v>
      </c>
      <c r="E396" s="266"/>
      <c r="F396" s="1"/>
      <c r="Z396" s="322">
        <v>38197</v>
      </c>
      <c r="AA396" s="323">
        <v>213</v>
      </c>
      <c r="AB396" s="323">
        <v>122</v>
      </c>
    </row>
    <row r="397" spans="1:28">
      <c r="A397" s="264">
        <v>38176</v>
      </c>
      <c r="B397" s="264">
        <v>38176</v>
      </c>
      <c r="C397" s="267">
        <v>186.5</v>
      </c>
      <c r="D397" s="267">
        <v>112.5</v>
      </c>
      <c r="E397" s="267"/>
      <c r="F397" s="1"/>
      <c r="Z397" s="322">
        <v>38204</v>
      </c>
      <c r="AA397" s="323">
        <v>209.5</v>
      </c>
      <c r="AB397" s="323">
        <v>129</v>
      </c>
    </row>
    <row r="398" spans="1:28">
      <c r="A398" s="264">
        <v>38183</v>
      </c>
      <c r="B398" s="264">
        <v>38183</v>
      </c>
      <c r="C398" s="267">
        <v>200</v>
      </c>
      <c r="D398" s="267">
        <v>128.5</v>
      </c>
      <c r="E398" s="267"/>
      <c r="F398" s="1"/>
      <c r="Z398" s="322">
        <v>38211</v>
      </c>
      <c r="AA398" s="323">
        <v>204.5</v>
      </c>
      <c r="AB398" s="323">
        <v>129</v>
      </c>
    </row>
    <row r="399" spans="1:28">
      <c r="A399" s="264">
        <v>38190</v>
      </c>
      <c r="B399" s="264">
        <v>38190</v>
      </c>
      <c r="C399" s="267">
        <v>208.5</v>
      </c>
      <c r="D399" s="267">
        <v>128.5</v>
      </c>
      <c r="E399" s="267"/>
      <c r="F399" s="1"/>
      <c r="Z399" s="322">
        <v>38218</v>
      </c>
      <c r="AA399" s="323">
        <v>190.5</v>
      </c>
      <c r="AB399" s="323">
        <v>126.5</v>
      </c>
    </row>
    <row r="400" spans="1:28">
      <c r="A400" s="264">
        <v>38197</v>
      </c>
      <c r="B400" s="264">
        <v>38197</v>
      </c>
      <c r="C400" s="267">
        <v>213</v>
      </c>
      <c r="D400" s="267">
        <v>123</v>
      </c>
      <c r="E400" s="267"/>
      <c r="F400" s="1"/>
      <c r="Z400" s="322">
        <v>38225</v>
      </c>
      <c r="AA400" s="323">
        <v>204</v>
      </c>
      <c r="AB400" s="323">
        <v>126.5</v>
      </c>
    </row>
    <row r="401" spans="1:28">
      <c r="A401" s="264">
        <v>38204</v>
      </c>
      <c r="B401" s="264">
        <v>38204</v>
      </c>
      <c r="C401" s="267">
        <v>209.5</v>
      </c>
      <c r="D401" s="267">
        <v>122</v>
      </c>
      <c r="E401" s="267"/>
      <c r="F401" s="1"/>
      <c r="Z401" s="322">
        <v>38232</v>
      </c>
      <c r="AA401" s="323">
        <v>213</v>
      </c>
      <c r="AB401" s="323">
        <v>126.5</v>
      </c>
    </row>
    <row r="402" spans="1:28">
      <c r="A402" s="264">
        <v>38211</v>
      </c>
      <c r="B402" s="264">
        <v>38211</v>
      </c>
      <c r="C402" s="267">
        <v>204.5</v>
      </c>
      <c r="D402" s="267">
        <v>129</v>
      </c>
      <c r="E402" s="267"/>
      <c r="F402" s="1"/>
      <c r="Z402" s="322">
        <v>38239</v>
      </c>
      <c r="AA402" s="323">
        <v>213.5</v>
      </c>
      <c r="AB402" s="323">
        <v>131</v>
      </c>
    </row>
    <row r="403" spans="1:28">
      <c r="A403" s="264">
        <v>38218</v>
      </c>
      <c r="B403" s="264">
        <v>38218</v>
      </c>
      <c r="C403" s="267">
        <v>190.5</v>
      </c>
      <c r="D403" s="267">
        <v>129</v>
      </c>
      <c r="E403" s="267"/>
      <c r="F403" s="1"/>
      <c r="Z403" s="322">
        <v>38246</v>
      </c>
      <c r="AA403" s="323">
        <v>216</v>
      </c>
      <c r="AB403" s="323">
        <v>141</v>
      </c>
    </row>
    <row r="404" spans="1:28">
      <c r="A404" s="264">
        <v>38225</v>
      </c>
      <c r="B404" s="264">
        <v>38225</v>
      </c>
      <c r="C404" s="267">
        <v>204</v>
      </c>
      <c r="D404" s="267">
        <v>126.5</v>
      </c>
      <c r="E404" s="267"/>
      <c r="F404" s="1"/>
      <c r="Z404" s="322">
        <v>38253</v>
      </c>
      <c r="AA404" s="323">
        <v>220</v>
      </c>
      <c r="AB404" s="323">
        <v>148.5</v>
      </c>
    </row>
    <row r="405" spans="1:28">
      <c r="A405" s="264">
        <v>38232</v>
      </c>
      <c r="B405" s="264">
        <v>38232</v>
      </c>
      <c r="C405" s="267">
        <v>213</v>
      </c>
      <c r="D405" s="267">
        <v>126.5</v>
      </c>
      <c r="E405" s="267"/>
      <c r="F405" s="1"/>
      <c r="Z405" s="322">
        <v>38260</v>
      </c>
      <c r="AA405" s="323">
        <v>236</v>
      </c>
      <c r="AB405" s="323">
        <v>149.5</v>
      </c>
    </row>
    <row r="406" spans="1:28">
      <c r="A406" s="264">
        <v>38239</v>
      </c>
      <c r="B406" s="264">
        <v>38239</v>
      </c>
      <c r="C406" s="267">
        <v>213.5</v>
      </c>
      <c r="D406" s="267">
        <v>126.5</v>
      </c>
      <c r="E406" s="267"/>
      <c r="F406" s="1"/>
      <c r="Z406" s="322">
        <v>38267</v>
      </c>
      <c r="AA406" s="323">
        <v>239.5</v>
      </c>
      <c r="AB406" s="323">
        <v>155.5</v>
      </c>
    </row>
    <row r="407" spans="1:28">
      <c r="A407" s="264">
        <v>38246</v>
      </c>
      <c r="B407" s="264">
        <v>38246</v>
      </c>
      <c r="C407" s="267">
        <v>216</v>
      </c>
      <c r="D407" s="267">
        <v>131</v>
      </c>
      <c r="E407" s="267"/>
      <c r="F407" s="1"/>
      <c r="Z407" s="322">
        <v>38274</v>
      </c>
      <c r="AA407" s="323">
        <v>239.5</v>
      </c>
      <c r="AB407" s="323">
        <v>156</v>
      </c>
    </row>
    <row r="408" spans="1:28">
      <c r="A408" s="264">
        <v>38253</v>
      </c>
      <c r="B408" s="264">
        <v>38253</v>
      </c>
      <c r="C408" s="267">
        <v>220</v>
      </c>
      <c r="D408" s="267">
        <v>141</v>
      </c>
      <c r="E408" s="267"/>
      <c r="F408" s="1"/>
      <c r="Z408" s="322">
        <v>38281</v>
      </c>
      <c r="AA408" s="323">
        <v>234</v>
      </c>
      <c r="AB408" s="323">
        <v>153.5</v>
      </c>
    </row>
    <row r="409" spans="1:28">
      <c r="A409" s="264">
        <v>38260</v>
      </c>
      <c r="B409" s="264">
        <v>38260</v>
      </c>
      <c r="C409" s="267">
        <v>236</v>
      </c>
      <c r="D409" s="267">
        <v>148.5</v>
      </c>
      <c r="E409" s="267"/>
      <c r="F409" s="1"/>
      <c r="Z409" s="322">
        <v>38288</v>
      </c>
      <c r="AA409" s="323">
        <v>229.5</v>
      </c>
      <c r="AB409" s="323">
        <v>151.5</v>
      </c>
    </row>
    <row r="410" spans="1:28">
      <c r="A410" s="264">
        <v>38267</v>
      </c>
      <c r="B410" s="264">
        <v>38267</v>
      </c>
      <c r="C410" s="267">
        <v>239.5</v>
      </c>
      <c r="D410" s="267">
        <v>149.5</v>
      </c>
      <c r="E410" s="267"/>
      <c r="F410" s="1"/>
      <c r="Z410" s="322">
        <v>38295</v>
      </c>
      <c r="AA410" s="323">
        <v>212.5</v>
      </c>
      <c r="AB410" s="323">
        <v>148</v>
      </c>
    </row>
    <row r="411" spans="1:28">
      <c r="A411" s="264">
        <v>38274</v>
      </c>
      <c r="B411" s="264">
        <v>38274</v>
      </c>
      <c r="C411" s="267">
        <v>239.5</v>
      </c>
      <c r="D411" s="267">
        <v>155.5</v>
      </c>
      <c r="E411" s="267"/>
      <c r="F411" s="1"/>
      <c r="Z411" s="322">
        <v>38302</v>
      </c>
      <c r="AA411" s="323">
        <v>196</v>
      </c>
      <c r="AB411" s="323">
        <v>148</v>
      </c>
    </row>
    <row r="412" spans="1:28">
      <c r="A412" s="264">
        <v>38281</v>
      </c>
      <c r="B412" s="264">
        <v>38281</v>
      </c>
      <c r="C412" s="267">
        <v>234</v>
      </c>
      <c r="D412" s="267">
        <v>156</v>
      </c>
      <c r="E412" s="267"/>
      <c r="Z412" s="322">
        <v>38309</v>
      </c>
      <c r="AA412" s="323">
        <v>212</v>
      </c>
      <c r="AB412" s="323">
        <v>148</v>
      </c>
    </row>
    <row r="413" spans="1:28">
      <c r="A413" s="264">
        <v>38288</v>
      </c>
      <c r="B413" s="264">
        <v>38288</v>
      </c>
      <c r="C413" s="267">
        <v>229.5</v>
      </c>
      <c r="D413" s="267">
        <v>153.5</v>
      </c>
      <c r="E413" s="267"/>
      <c r="Z413" s="322">
        <v>38316</v>
      </c>
      <c r="AA413" s="323">
        <v>192.5</v>
      </c>
      <c r="AB413" s="323">
        <v>148</v>
      </c>
    </row>
    <row r="414" spans="1:28">
      <c r="A414" s="264">
        <v>38295</v>
      </c>
      <c r="B414" s="264">
        <v>38295</v>
      </c>
      <c r="C414" s="267">
        <v>212.5</v>
      </c>
      <c r="D414" s="267">
        <v>151.5</v>
      </c>
      <c r="E414" s="267"/>
      <c r="Z414" s="322">
        <v>38323</v>
      </c>
      <c r="AA414" s="323">
        <v>187.5</v>
      </c>
      <c r="AB414" s="323">
        <v>148</v>
      </c>
    </row>
    <row r="415" spans="1:28">
      <c r="A415" s="264">
        <v>38302</v>
      </c>
      <c r="B415" s="264">
        <v>38302</v>
      </c>
      <c r="C415" s="267">
        <v>196</v>
      </c>
      <c r="D415" s="267">
        <v>148</v>
      </c>
      <c r="E415" s="267"/>
      <c r="Z415" s="322">
        <v>38330</v>
      </c>
      <c r="AA415" s="323">
        <v>180</v>
      </c>
      <c r="AB415" s="323">
        <v>137.5</v>
      </c>
    </row>
    <row r="416" spans="1:28">
      <c r="A416" s="264">
        <v>38309</v>
      </c>
      <c r="B416" s="264">
        <v>38309</v>
      </c>
      <c r="C416" s="267">
        <v>212</v>
      </c>
      <c r="D416" s="267">
        <v>148</v>
      </c>
      <c r="E416" s="267"/>
      <c r="Z416" s="322">
        <v>38337</v>
      </c>
      <c r="AA416" s="323">
        <v>177</v>
      </c>
      <c r="AB416" s="323">
        <v>137.5</v>
      </c>
    </row>
    <row r="417" spans="1:28">
      <c r="A417" s="264">
        <v>38316</v>
      </c>
      <c r="B417" s="264">
        <v>38316</v>
      </c>
      <c r="C417" s="267">
        <v>192.5</v>
      </c>
      <c r="D417" s="267">
        <v>148</v>
      </c>
      <c r="E417" s="267"/>
      <c r="Z417" s="322">
        <v>38344</v>
      </c>
      <c r="AA417" s="323">
        <v>175</v>
      </c>
      <c r="AB417" s="323">
        <v>125.5</v>
      </c>
    </row>
    <row r="418" spans="1:28">
      <c r="A418" s="264">
        <v>38323</v>
      </c>
      <c r="B418" s="264">
        <v>38323</v>
      </c>
      <c r="C418" s="267">
        <v>187.5</v>
      </c>
      <c r="D418" s="267">
        <v>148</v>
      </c>
      <c r="E418" s="267"/>
      <c r="Z418" s="322">
        <v>38358</v>
      </c>
      <c r="AA418" s="323">
        <v>187.5</v>
      </c>
      <c r="AB418" s="323">
        <v>135.5</v>
      </c>
    </row>
    <row r="419" spans="1:28">
      <c r="A419" s="264">
        <v>38330</v>
      </c>
      <c r="B419" s="264">
        <v>38330</v>
      </c>
      <c r="C419" s="267">
        <v>180</v>
      </c>
      <c r="D419" s="267">
        <v>148</v>
      </c>
      <c r="E419" s="267"/>
      <c r="Z419" s="322">
        <v>38365</v>
      </c>
      <c r="AA419" s="323">
        <v>193.5</v>
      </c>
      <c r="AB419" s="323">
        <v>128</v>
      </c>
    </row>
    <row r="420" spans="1:28">
      <c r="A420" s="264">
        <v>38337</v>
      </c>
      <c r="B420" s="264">
        <v>38337</v>
      </c>
      <c r="C420" s="267">
        <v>177</v>
      </c>
      <c r="D420" s="267">
        <v>137.5</v>
      </c>
      <c r="E420" s="267"/>
      <c r="Z420" s="322">
        <v>38372</v>
      </c>
      <c r="AA420" s="323">
        <v>184</v>
      </c>
      <c r="AB420" s="323">
        <v>128</v>
      </c>
    </row>
    <row r="421" spans="1:28">
      <c r="A421" s="264">
        <v>38344</v>
      </c>
      <c r="B421" s="264">
        <v>38344</v>
      </c>
      <c r="C421" s="267">
        <v>175</v>
      </c>
      <c r="D421" s="267">
        <v>137.5</v>
      </c>
      <c r="E421" s="267"/>
      <c r="Z421" s="322">
        <v>38379</v>
      </c>
      <c r="AA421" s="323">
        <v>174.5</v>
      </c>
      <c r="AB421" s="323">
        <v>128</v>
      </c>
    </row>
    <row r="422" spans="1:28">
      <c r="A422" s="264">
        <v>38358</v>
      </c>
      <c r="B422" s="264">
        <v>38358</v>
      </c>
      <c r="C422" s="267">
        <v>187.5</v>
      </c>
      <c r="D422" s="267">
        <v>125.5</v>
      </c>
      <c r="E422" s="267"/>
      <c r="Z422" s="322">
        <v>38386</v>
      </c>
      <c r="AA422" s="323">
        <v>171.5</v>
      </c>
      <c r="AB422" s="323">
        <v>128</v>
      </c>
    </row>
    <row r="423" spans="1:28">
      <c r="A423" s="264">
        <v>38365</v>
      </c>
      <c r="B423" s="264">
        <v>38365</v>
      </c>
      <c r="C423" s="267">
        <v>193.5</v>
      </c>
      <c r="D423" s="267">
        <v>135.5</v>
      </c>
      <c r="E423" s="267"/>
      <c r="Z423" s="322">
        <v>38393</v>
      </c>
      <c r="AA423" s="323">
        <v>170</v>
      </c>
      <c r="AB423" s="323">
        <v>142.5</v>
      </c>
    </row>
    <row r="424" spans="1:28">
      <c r="A424" s="264">
        <v>38372</v>
      </c>
      <c r="B424" s="264">
        <v>38372</v>
      </c>
      <c r="C424" s="267">
        <v>184</v>
      </c>
      <c r="D424" s="267">
        <v>128</v>
      </c>
      <c r="E424" s="267"/>
      <c r="F424" s="1"/>
      <c r="Z424" s="322">
        <v>38400</v>
      </c>
      <c r="AA424" s="323">
        <v>181.5</v>
      </c>
      <c r="AB424" s="323">
        <v>151.5</v>
      </c>
    </row>
    <row r="425" spans="1:28">
      <c r="A425" s="264">
        <v>38379</v>
      </c>
      <c r="B425" s="264">
        <v>38379</v>
      </c>
      <c r="C425" s="267">
        <v>174.5</v>
      </c>
      <c r="D425" s="267">
        <v>128</v>
      </c>
      <c r="E425" s="267"/>
      <c r="F425" s="1"/>
      <c r="Z425" s="322">
        <v>38407</v>
      </c>
      <c r="AA425" s="323">
        <v>192</v>
      </c>
      <c r="AB425" s="323">
        <v>155</v>
      </c>
    </row>
    <row r="426" spans="1:28">
      <c r="A426" s="264">
        <v>38386</v>
      </c>
      <c r="B426" s="264">
        <v>38386</v>
      </c>
      <c r="C426" s="267">
        <v>171.5</v>
      </c>
      <c r="D426" s="267">
        <v>128</v>
      </c>
      <c r="E426" s="267"/>
      <c r="F426" s="1"/>
      <c r="Z426" s="322">
        <v>38414</v>
      </c>
      <c r="AA426" s="323">
        <v>197.5</v>
      </c>
      <c r="AB426" s="323">
        <v>156.5</v>
      </c>
    </row>
    <row r="427" spans="1:28">
      <c r="A427" s="264">
        <v>38393</v>
      </c>
      <c r="B427" s="264">
        <v>38393</v>
      </c>
      <c r="C427" s="267">
        <v>170</v>
      </c>
      <c r="D427" s="267">
        <v>128</v>
      </c>
      <c r="E427" s="267"/>
      <c r="F427" s="1"/>
      <c r="Z427" s="322">
        <v>38421</v>
      </c>
      <c r="AA427" s="323">
        <v>201</v>
      </c>
      <c r="AB427" s="323">
        <v>156.5</v>
      </c>
    </row>
    <row r="428" spans="1:28">
      <c r="A428" s="264">
        <v>38400</v>
      </c>
      <c r="B428" s="264">
        <v>38400</v>
      </c>
      <c r="C428" s="267">
        <v>181.5</v>
      </c>
      <c r="D428" s="267">
        <v>142.5</v>
      </c>
      <c r="E428" s="267"/>
      <c r="F428" s="1"/>
      <c r="Z428" s="322">
        <v>38428</v>
      </c>
      <c r="AA428" s="323">
        <v>215</v>
      </c>
      <c r="AB428" s="323">
        <v>151</v>
      </c>
    </row>
    <row r="429" spans="1:28">
      <c r="A429" s="264">
        <v>38407</v>
      </c>
      <c r="B429" s="264">
        <v>38407</v>
      </c>
      <c r="C429" s="267">
        <v>192</v>
      </c>
      <c r="D429" s="267">
        <v>151.5</v>
      </c>
      <c r="E429" s="267"/>
      <c r="F429" s="1"/>
      <c r="Z429" s="322">
        <v>38435</v>
      </c>
      <c r="AA429" s="323">
        <v>215</v>
      </c>
      <c r="AB429" s="323">
        <v>237.5</v>
      </c>
    </row>
    <row r="430" spans="1:28">
      <c r="A430" s="264">
        <v>38414</v>
      </c>
      <c r="B430" s="264">
        <v>38414</v>
      </c>
      <c r="C430" s="267">
        <v>197.5</v>
      </c>
      <c r="D430" s="267">
        <v>155</v>
      </c>
      <c r="E430" s="267"/>
      <c r="F430" s="1"/>
      <c r="Z430" s="322">
        <v>38442</v>
      </c>
      <c r="AA430" s="323">
        <v>222.5</v>
      </c>
      <c r="AB430" s="323">
        <v>146.5</v>
      </c>
    </row>
    <row r="431" spans="1:28">
      <c r="A431" s="264">
        <v>38421</v>
      </c>
      <c r="B431" s="264">
        <v>38421</v>
      </c>
      <c r="C431" s="267">
        <v>201</v>
      </c>
      <c r="D431" s="267">
        <v>156.5</v>
      </c>
      <c r="E431" s="267"/>
      <c r="F431" s="1"/>
      <c r="Z431" s="322">
        <v>38449</v>
      </c>
      <c r="AA431" s="323">
        <v>228.5</v>
      </c>
      <c r="AB431" s="323">
        <v>142.5</v>
      </c>
    </row>
    <row r="432" spans="1:28">
      <c r="A432" s="264">
        <v>38428</v>
      </c>
      <c r="B432" s="264">
        <v>38428</v>
      </c>
      <c r="C432" s="267">
        <v>215</v>
      </c>
      <c r="D432" s="267">
        <v>156.5</v>
      </c>
      <c r="E432" s="267"/>
      <c r="F432" s="1"/>
      <c r="Z432" s="322">
        <v>38456</v>
      </c>
      <c r="AA432" s="323">
        <v>238.5</v>
      </c>
      <c r="AB432" s="323">
        <v>141</v>
      </c>
    </row>
    <row r="433" spans="1:28">
      <c r="A433" s="264">
        <v>38435</v>
      </c>
      <c r="B433" s="264">
        <v>38435</v>
      </c>
      <c r="C433" s="267">
        <v>215</v>
      </c>
      <c r="D433" s="267">
        <v>151</v>
      </c>
      <c r="E433" s="267"/>
      <c r="F433" s="1"/>
      <c r="Z433" s="322">
        <v>38463</v>
      </c>
      <c r="AA433" s="323">
        <v>247.5</v>
      </c>
      <c r="AB433" s="323">
        <v>147.5</v>
      </c>
    </row>
    <row r="434" spans="1:28">
      <c r="A434" s="264">
        <v>38442</v>
      </c>
      <c r="B434" s="264">
        <v>38442</v>
      </c>
      <c r="C434" s="267">
        <v>222.5</v>
      </c>
      <c r="D434" s="267">
        <v>237.5</v>
      </c>
      <c r="E434" s="267"/>
      <c r="F434" s="1"/>
      <c r="Z434" s="322">
        <v>38470</v>
      </c>
      <c r="AA434" s="323">
        <v>234.5</v>
      </c>
      <c r="AB434" s="323">
        <v>150</v>
      </c>
    </row>
    <row r="435" spans="1:28">
      <c r="A435" s="264">
        <v>38449</v>
      </c>
      <c r="B435" s="264">
        <v>38449</v>
      </c>
      <c r="C435" s="267">
        <v>228.5</v>
      </c>
      <c r="D435" s="267">
        <v>146.5</v>
      </c>
      <c r="E435" s="267"/>
      <c r="F435" s="1"/>
      <c r="Z435" s="322">
        <v>38477</v>
      </c>
      <c r="AA435" s="323">
        <v>257.5</v>
      </c>
      <c r="AB435" s="323">
        <v>150</v>
      </c>
    </row>
    <row r="436" spans="1:28">
      <c r="A436" s="264">
        <v>38456</v>
      </c>
      <c r="B436" s="264">
        <v>38456</v>
      </c>
      <c r="C436" s="267">
        <v>238.5</v>
      </c>
      <c r="D436" s="267">
        <v>142.5</v>
      </c>
      <c r="E436" s="267"/>
      <c r="F436" s="1"/>
      <c r="Z436" s="322">
        <v>38484</v>
      </c>
      <c r="AA436" s="323">
        <v>255</v>
      </c>
      <c r="AB436" s="323">
        <v>142.5</v>
      </c>
    </row>
    <row r="437" spans="1:28">
      <c r="A437" s="264">
        <v>38463</v>
      </c>
      <c r="B437" s="264">
        <v>38463</v>
      </c>
      <c r="C437" s="267">
        <v>247.5</v>
      </c>
      <c r="D437" s="267">
        <v>141</v>
      </c>
      <c r="E437" s="267"/>
      <c r="F437" s="1"/>
      <c r="Z437" s="322">
        <v>38491</v>
      </c>
      <c r="AA437" s="323">
        <v>255</v>
      </c>
      <c r="AB437" s="323">
        <v>143</v>
      </c>
    </row>
    <row r="438" spans="1:28">
      <c r="A438" s="264">
        <v>38470</v>
      </c>
      <c r="B438" s="264">
        <v>38470</v>
      </c>
      <c r="C438" s="267">
        <v>234.5</v>
      </c>
      <c r="D438" s="267">
        <v>147.5</v>
      </c>
      <c r="E438" s="267"/>
      <c r="F438" s="1"/>
      <c r="Z438" s="322">
        <v>38498</v>
      </c>
      <c r="AA438" s="323">
        <v>240</v>
      </c>
      <c r="AB438" s="323">
        <v>142.5</v>
      </c>
    </row>
    <row r="439" spans="1:28">
      <c r="A439" s="264">
        <v>38477</v>
      </c>
      <c r="B439" s="264">
        <v>38477</v>
      </c>
      <c r="C439" s="267">
        <v>257.5</v>
      </c>
      <c r="D439" s="267">
        <v>150</v>
      </c>
      <c r="E439" s="267"/>
      <c r="F439" s="1"/>
      <c r="Z439" s="322">
        <v>38505</v>
      </c>
      <c r="AA439" s="323">
        <v>224.5</v>
      </c>
      <c r="AB439" s="323">
        <v>107.5</v>
      </c>
    </row>
    <row r="440" spans="1:28">
      <c r="A440" s="264">
        <v>38484</v>
      </c>
      <c r="B440" s="264">
        <v>38484</v>
      </c>
      <c r="C440" s="267">
        <v>255</v>
      </c>
      <c r="D440" s="267">
        <v>150</v>
      </c>
      <c r="E440" s="267"/>
      <c r="F440" s="1"/>
      <c r="Z440" s="322">
        <v>38519</v>
      </c>
      <c r="AA440" s="323">
        <v>203</v>
      </c>
      <c r="AB440" s="323">
        <v>102</v>
      </c>
    </row>
    <row r="441" spans="1:28">
      <c r="A441" s="264">
        <v>38491</v>
      </c>
      <c r="B441" s="264">
        <v>38491</v>
      </c>
      <c r="C441" s="267">
        <v>255</v>
      </c>
      <c r="D441" s="267">
        <v>142.5</v>
      </c>
      <c r="E441" s="267"/>
      <c r="F441" s="1"/>
      <c r="Z441" s="322">
        <v>38526</v>
      </c>
      <c r="AA441" s="323">
        <v>206.5</v>
      </c>
      <c r="AB441" s="323">
        <v>119</v>
      </c>
    </row>
    <row r="442" spans="1:28">
      <c r="A442" s="264">
        <v>38498</v>
      </c>
      <c r="B442" s="264">
        <v>38498</v>
      </c>
      <c r="C442" s="267">
        <v>240</v>
      </c>
      <c r="D442" s="267">
        <v>143</v>
      </c>
      <c r="E442" s="267"/>
      <c r="F442" s="1"/>
      <c r="Z442" s="322">
        <v>38533</v>
      </c>
      <c r="AA442" s="323">
        <v>220</v>
      </c>
      <c r="AB442" s="323">
        <v>116.5</v>
      </c>
    </row>
    <row r="443" spans="1:28">
      <c r="A443" s="264">
        <v>38505</v>
      </c>
      <c r="B443" s="264">
        <v>38505</v>
      </c>
      <c r="C443" s="267">
        <v>224.5</v>
      </c>
      <c r="D443" s="267">
        <v>142.5</v>
      </c>
      <c r="E443" s="267"/>
      <c r="F443" s="1"/>
      <c r="Z443" s="322">
        <v>38540</v>
      </c>
      <c r="AA443" s="323">
        <v>219.5</v>
      </c>
      <c r="AB443" s="323">
        <v>112.5</v>
      </c>
    </row>
    <row r="444" spans="1:28">
      <c r="A444" s="264">
        <v>38519</v>
      </c>
      <c r="B444" s="264">
        <v>38519</v>
      </c>
      <c r="C444" s="267">
        <v>203</v>
      </c>
      <c r="D444" s="267">
        <v>107.5</v>
      </c>
      <c r="E444" s="267"/>
      <c r="F444" s="1"/>
      <c r="Z444" s="322">
        <v>38547</v>
      </c>
      <c r="AA444" s="323">
        <v>213</v>
      </c>
      <c r="AB444" s="323">
        <v>120</v>
      </c>
    </row>
    <row r="445" spans="1:28">
      <c r="A445" s="264">
        <v>38526</v>
      </c>
      <c r="B445" s="264">
        <v>38526</v>
      </c>
      <c r="C445" s="267">
        <v>206.5</v>
      </c>
      <c r="D445" s="267">
        <v>102</v>
      </c>
      <c r="E445" s="267"/>
      <c r="F445" s="1"/>
      <c r="Z445" s="322">
        <v>38554</v>
      </c>
      <c r="AA445" s="323">
        <v>205.5</v>
      </c>
      <c r="AB445" s="323">
        <v>122.5</v>
      </c>
    </row>
    <row r="446" spans="1:28">
      <c r="A446" s="264">
        <v>38533</v>
      </c>
      <c r="B446" s="264">
        <v>38533</v>
      </c>
      <c r="C446" s="267">
        <v>220</v>
      </c>
      <c r="D446" s="267">
        <v>119</v>
      </c>
      <c r="E446" s="267"/>
      <c r="F446" s="1"/>
      <c r="Z446" s="322">
        <v>38561</v>
      </c>
      <c r="AA446" s="323">
        <v>200</v>
      </c>
      <c r="AB446" s="323">
        <v>122.5</v>
      </c>
    </row>
    <row r="447" spans="1:28">
      <c r="A447" s="264">
        <v>38540</v>
      </c>
      <c r="B447" s="264">
        <v>38540</v>
      </c>
      <c r="C447" s="267">
        <v>219.5</v>
      </c>
      <c r="D447" s="267">
        <v>116.5</v>
      </c>
      <c r="E447" s="267"/>
      <c r="F447" s="1"/>
      <c r="Z447" s="322">
        <v>38568</v>
      </c>
      <c r="AA447" s="323">
        <v>200</v>
      </c>
      <c r="AB447" s="323">
        <v>114.5</v>
      </c>
    </row>
    <row r="448" spans="1:28">
      <c r="A448" s="264">
        <v>38547</v>
      </c>
      <c r="B448" s="264">
        <v>38547</v>
      </c>
      <c r="C448" s="267">
        <v>213</v>
      </c>
      <c r="D448" s="267">
        <v>112.5</v>
      </c>
      <c r="E448" s="267"/>
      <c r="F448" s="1"/>
      <c r="Z448" s="322">
        <v>38575</v>
      </c>
      <c r="AA448" s="323">
        <v>201</v>
      </c>
      <c r="AB448" s="323">
        <v>120</v>
      </c>
    </row>
    <row r="449" spans="1:28">
      <c r="A449" s="264">
        <v>38554</v>
      </c>
      <c r="B449" s="264">
        <v>38554</v>
      </c>
      <c r="C449" s="267">
        <v>205.5</v>
      </c>
      <c r="D449" s="267">
        <v>120</v>
      </c>
      <c r="E449" s="267"/>
      <c r="F449" s="1"/>
      <c r="Z449" s="322">
        <v>38582</v>
      </c>
      <c r="AA449" s="323">
        <v>205</v>
      </c>
      <c r="AB449" s="323">
        <v>119.5</v>
      </c>
    </row>
    <row r="450" spans="1:28">
      <c r="A450" s="264">
        <v>38561</v>
      </c>
      <c r="B450" s="264">
        <v>38561</v>
      </c>
      <c r="C450" s="267">
        <v>200</v>
      </c>
      <c r="D450" s="267">
        <v>122.5</v>
      </c>
      <c r="E450" s="267"/>
      <c r="F450" s="1"/>
      <c r="Z450" s="322">
        <v>38589</v>
      </c>
      <c r="AA450" s="323">
        <v>202</v>
      </c>
      <c r="AB450" s="323">
        <v>135</v>
      </c>
    </row>
    <row r="451" spans="1:28">
      <c r="A451" s="264">
        <v>38568</v>
      </c>
      <c r="B451" s="264">
        <v>38568</v>
      </c>
      <c r="C451" s="267">
        <v>200</v>
      </c>
      <c r="D451" s="267">
        <v>122.5</v>
      </c>
      <c r="E451" s="267"/>
      <c r="F451" s="1"/>
      <c r="Z451" s="322">
        <v>38596</v>
      </c>
      <c r="AA451" s="323">
        <v>210</v>
      </c>
      <c r="AB451" s="323">
        <v>145.5</v>
      </c>
    </row>
    <row r="452" spans="1:28">
      <c r="A452" s="264">
        <v>38575</v>
      </c>
      <c r="B452" s="264">
        <v>38575</v>
      </c>
      <c r="C452" s="267">
        <v>201</v>
      </c>
      <c r="D452" s="267">
        <v>114.5</v>
      </c>
      <c r="E452" s="267"/>
      <c r="F452" s="1"/>
      <c r="Z452" s="322">
        <v>38603</v>
      </c>
      <c r="AA452" s="323">
        <v>204</v>
      </c>
      <c r="AB452" s="323">
        <v>152.5</v>
      </c>
    </row>
    <row r="453" spans="1:28">
      <c r="A453" s="264">
        <v>38582</v>
      </c>
      <c r="B453" s="264">
        <v>38582</v>
      </c>
      <c r="C453" s="267">
        <v>205</v>
      </c>
      <c r="D453" s="267">
        <v>120</v>
      </c>
      <c r="E453" s="267"/>
      <c r="F453" s="1"/>
      <c r="Z453" s="322">
        <v>38610</v>
      </c>
      <c r="AA453" s="323">
        <v>204</v>
      </c>
      <c r="AB453" s="323">
        <v>141</v>
      </c>
    </row>
    <row r="454" spans="1:28">
      <c r="A454" s="264">
        <v>38589</v>
      </c>
      <c r="B454" s="264">
        <v>38589</v>
      </c>
      <c r="C454" s="267">
        <v>202</v>
      </c>
      <c r="D454" s="267">
        <v>119.5</v>
      </c>
      <c r="E454" s="267"/>
      <c r="F454" s="1"/>
      <c r="Z454" s="322">
        <v>38617</v>
      </c>
      <c r="AA454" s="323">
        <v>201.5</v>
      </c>
      <c r="AB454" s="323">
        <v>141</v>
      </c>
    </row>
    <row r="455" spans="1:28">
      <c r="A455" s="264">
        <v>38596</v>
      </c>
      <c r="B455" s="264">
        <v>38596</v>
      </c>
      <c r="C455" s="267">
        <v>210</v>
      </c>
      <c r="D455" s="267">
        <v>135</v>
      </c>
      <c r="E455" s="267"/>
      <c r="F455" s="1"/>
      <c r="Z455" s="322">
        <v>38624</v>
      </c>
      <c r="AA455" s="323">
        <v>203.5</v>
      </c>
      <c r="AB455" s="323">
        <v>141</v>
      </c>
    </row>
    <row r="456" spans="1:28">
      <c r="A456" s="264">
        <v>38603</v>
      </c>
      <c r="B456" s="264">
        <v>38603</v>
      </c>
      <c r="C456" s="267">
        <v>204</v>
      </c>
      <c r="D456" s="267">
        <v>145.5</v>
      </c>
      <c r="E456" s="267"/>
      <c r="F456" s="1"/>
      <c r="Z456" s="322">
        <v>38631</v>
      </c>
      <c r="AA456" s="323">
        <v>211</v>
      </c>
      <c r="AB456" s="323">
        <v>141</v>
      </c>
    </row>
    <row r="457" spans="1:28">
      <c r="A457" s="264">
        <v>38610</v>
      </c>
      <c r="B457" s="264">
        <v>38610</v>
      </c>
      <c r="C457" s="267">
        <v>204</v>
      </c>
      <c r="D457" s="267">
        <v>152.5</v>
      </c>
      <c r="E457" s="267"/>
      <c r="F457" s="1"/>
      <c r="Z457" s="322">
        <v>38638</v>
      </c>
      <c r="AA457" s="323">
        <v>211.5</v>
      </c>
      <c r="AB457" s="323">
        <v>132.5</v>
      </c>
    </row>
    <row r="458" spans="1:28">
      <c r="A458" s="264">
        <v>38617</v>
      </c>
      <c r="B458" s="264">
        <v>38617</v>
      </c>
      <c r="C458" s="267">
        <v>201.5</v>
      </c>
      <c r="D458" s="267">
        <v>141</v>
      </c>
      <c r="E458" s="267"/>
      <c r="F458" s="1"/>
      <c r="Z458" s="322">
        <v>38645</v>
      </c>
      <c r="AA458" s="323">
        <v>212.5</v>
      </c>
      <c r="AB458" s="323">
        <v>127.5</v>
      </c>
    </row>
    <row r="459" spans="1:28">
      <c r="A459" s="264">
        <v>38624</v>
      </c>
      <c r="B459" s="264">
        <v>38624</v>
      </c>
      <c r="C459" s="267">
        <v>203.5</v>
      </c>
      <c r="D459" s="267">
        <v>141</v>
      </c>
      <c r="E459" s="267"/>
      <c r="F459" s="1"/>
      <c r="Z459" s="322">
        <v>38652</v>
      </c>
      <c r="AA459" s="323">
        <v>221</v>
      </c>
      <c r="AB459" s="323">
        <v>134.5</v>
      </c>
    </row>
    <row r="460" spans="1:28">
      <c r="A460" s="264">
        <v>38631</v>
      </c>
      <c r="B460" s="264">
        <v>38631</v>
      </c>
      <c r="C460" s="267">
        <v>211</v>
      </c>
      <c r="D460" s="267">
        <v>141</v>
      </c>
      <c r="E460" s="267"/>
      <c r="F460" s="1"/>
      <c r="Z460" s="322">
        <v>38659</v>
      </c>
      <c r="AA460" s="323">
        <v>224</v>
      </c>
      <c r="AB460" s="323">
        <v>134</v>
      </c>
    </row>
    <row r="461" spans="1:28">
      <c r="A461" s="264">
        <v>38638</v>
      </c>
      <c r="B461" s="264">
        <v>38638</v>
      </c>
      <c r="C461" s="267">
        <v>211.5</v>
      </c>
      <c r="D461" s="267">
        <v>141</v>
      </c>
      <c r="E461" s="267"/>
      <c r="F461" s="1"/>
      <c r="Z461" s="322">
        <v>38666</v>
      </c>
      <c r="AA461" s="323">
        <v>220</v>
      </c>
      <c r="AB461" s="323">
        <v>134</v>
      </c>
    </row>
    <row r="462" spans="1:28">
      <c r="A462" s="264">
        <v>38645</v>
      </c>
      <c r="B462" s="264">
        <v>38645</v>
      </c>
      <c r="C462" s="267">
        <v>212.5</v>
      </c>
      <c r="D462" s="267">
        <v>132.5</v>
      </c>
      <c r="E462" s="267"/>
      <c r="F462" s="1"/>
      <c r="Z462" s="322">
        <v>38673</v>
      </c>
      <c r="AA462" s="323">
        <v>216.5</v>
      </c>
      <c r="AB462" s="323">
        <v>131.5</v>
      </c>
    </row>
    <row r="463" spans="1:28">
      <c r="A463" s="264">
        <v>38652</v>
      </c>
      <c r="B463" s="264">
        <v>38652</v>
      </c>
      <c r="C463" s="267">
        <v>221</v>
      </c>
      <c r="D463" s="267">
        <v>127.5</v>
      </c>
      <c r="E463" s="267"/>
      <c r="F463" s="1"/>
      <c r="Z463" s="322">
        <v>38680</v>
      </c>
      <c r="AA463" s="323">
        <v>211.5</v>
      </c>
      <c r="AB463" s="323">
        <v>122.5</v>
      </c>
    </row>
    <row r="464" spans="1:28">
      <c r="A464" s="264">
        <v>38659</v>
      </c>
      <c r="B464" s="264">
        <v>38659</v>
      </c>
      <c r="C464" s="267">
        <v>224</v>
      </c>
      <c r="D464" s="267">
        <v>134.5</v>
      </c>
      <c r="E464" s="267"/>
      <c r="F464" s="1"/>
      <c r="Z464" s="322">
        <v>38687</v>
      </c>
      <c r="AA464" s="323">
        <v>207.5</v>
      </c>
      <c r="AB464" s="323">
        <v>122.5</v>
      </c>
    </row>
    <row r="465" spans="1:28">
      <c r="A465" s="264">
        <v>38666</v>
      </c>
      <c r="B465" s="264">
        <v>38666</v>
      </c>
      <c r="C465" s="267">
        <v>220</v>
      </c>
      <c r="D465" s="267">
        <v>134</v>
      </c>
      <c r="E465" s="267"/>
      <c r="F465" s="1"/>
      <c r="Z465" s="322">
        <v>38694</v>
      </c>
      <c r="AA465" s="323">
        <v>197.5</v>
      </c>
      <c r="AB465" s="323">
        <v>137</v>
      </c>
    </row>
    <row r="466" spans="1:28">
      <c r="A466" s="264">
        <v>38673</v>
      </c>
      <c r="B466" s="264">
        <v>38673</v>
      </c>
      <c r="C466" s="267">
        <v>216.5</v>
      </c>
      <c r="D466" s="267">
        <v>134</v>
      </c>
      <c r="E466" s="267"/>
      <c r="F466" s="1"/>
      <c r="Z466" s="322">
        <v>38701</v>
      </c>
      <c r="AA466" s="323">
        <v>195</v>
      </c>
      <c r="AB466" s="323">
        <v>136.5</v>
      </c>
    </row>
    <row r="467" spans="1:28">
      <c r="A467" s="264">
        <v>38680</v>
      </c>
      <c r="B467" s="264">
        <v>38680</v>
      </c>
      <c r="C467" s="267">
        <v>211.5</v>
      </c>
      <c r="D467" s="267">
        <v>131.5</v>
      </c>
      <c r="E467" s="267"/>
      <c r="F467" s="1"/>
      <c r="Z467" s="322">
        <v>38708</v>
      </c>
      <c r="AA467" s="323">
        <v>205</v>
      </c>
      <c r="AB467" s="323">
        <v>132</v>
      </c>
    </row>
    <row r="468" spans="1:28">
      <c r="A468" s="264">
        <v>38687</v>
      </c>
      <c r="B468" s="264">
        <v>38687</v>
      </c>
      <c r="C468" s="267">
        <v>207.5</v>
      </c>
      <c r="D468" s="267">
        <v>122.5</v>
      </c>
      <c r="E468" s="267"/>
      <c r="F468" s="1"/>
      <c r="Z468" s="322">
        <v>38722</v>
      </c>
      <c r="AA468" s="323">
        <v>199</v>
      </c>
      <c r="AB468" s="323">
        <v>139</v>
      </c>
    </row>
    <row r="469" spans="1:28">
      <c r="A469" s="264">
        <v>38694</v>
      </c>
      <c r="B469" s="264">
        <v>38694</v>
      </c>
      <c r="C469" s="267">
        <v>197.5</v>
      </c>
      <c r="D469" s="267">
        <v>122.5</v>
      </c>
      <c r="E469" s="267"/>
      <c r="F469" s="1"/>
      <c r="Z469" s="322">
        <v>38729</v>
      </c>
      <c r="AA469" s="323">
        <v>195.5</v>
      </c>
      <c r="AB469" s="323">
        <v>145</v>
      </c>
    </row>
    <row r="470" spans="1:28">
      <c r="A470" s="264">
        <v>38701</v>
      </c>
      <c r="B470" s="264">
        <v>38701</v>
      </c>
      <c r="C470" s="267">
        <v>195</v>
      </c>
      <c r="D470" s="267">
        <v>137</v>
      </c>
      <c r="E470" s="267"/>
      <c r="F470" s="1"/>
      <c r="Z470" s="322">
        <v>38736</v>
      </c>
      <c r="AA470" s="323">
        <v>189</v>
      </c>
      <c r="AB470" s="323">
        <v>146</v>
      </c>
    </row>
    <row r="471" spans="1:28">
      <c r="A471" s="264">
        <v>38708</v>
      </c>
      <c r="B471" s="264">
        <v>38708</v>
      </c>
      <c r="C471" s="267">
        <v>205</v>
      </c>
      <c r="D471" s="267">
        <v>136.5</v>
      </c>
      <c r="E471" s="267"/>
      <c r="F471" s="1"/>
      <c r="Z471" s="322">
        <v>38743</v>
      </c>
      <c r="AA471" s="323">
        <v>196.5</v>
      </c>
      <c r="AB471" s="323">
        <v>145</v>
      </c>
    </row>
    <row r="472" spans="1:28">
      <c r="A472" s="264">
        <v>38722</v>
      </c>
      <c r="B472" s="264">
        <v>38722</v>
      </c>
      <c r="C472" s="267">
        <v>199</v>
      </c>
      <c r="D472" s="267">
        <v>132</v>
      </c>
      <c r="E472" s="392">
        <v>159</v>
      </c>
      <c r="F472" s="1"/>
      <c r="Z472" s="322">
        <v>38750</v>
      </c>
      <c r="AA472" s="323">
        <v>205</v>
      </c>
      <c r="AB472" s="323">
        <v>155.5</v>
      </c>
    </row>
    <row r="473" spans="1:28">
      <c r="A473" s="264">
        <v>38729</v>
      </c>
      <c r="B473" s="264">
        <v>38729</v>
      </c>
      <c r="C473" s="267">
        <v>195.5</v>
      </c>
      <c r="D473" s="267">
        <v>139</v>
      </c>
      <c r="E473" s="392">
        <v>159</v>
      </c>
      <c r="F473" s="1"/>
      <c r="Z473" s="322">
        <v>38757</v>
      </c>
      <c r="AA473" s="323">
        <v>211</v>
      </c>
      <c r="AB473" s="323">
        <v>157.5</v>
      </c>
    </row>
    <row r="474" spans="1:28">
      <c r="A474" s="264">
        <v>38736</v>
      </c>
      <c r="B474" s="264">
        <v>38736</v>
      </c>
      <c r="C474" s="267">
        <v>189</v>
      </c>
      <c r="D474" s="267">
        <v>145</v>
      </c>
      <c r="E474" s="392">
        <v>159</v>
      </c>
      <c r="F474" s="1"/>
      <c r="Z474" s="322">
        <v>38764</v>
      </c>
      <c r="AA474" s="323">
        <v>207.5</v>
      </c>
      <c r="AB474" s="323">
        <v>158.5</v>
      </c>
    </row>
    <row r="475" spans="1:28">
      <c r="A475" s="264">
        <v>38743</v>
      </c>
      <c r="B475" s="264">
        <v>38743</v>
      </c>
      <c r="C475" s="267">
        <v>196.5</v>
      </c>
      <c r="D475" s="267">
        <v>146</v>
      </c>
      <c r="E475" s="392">
        <v>159</v>
      </c>
      <c r="F475" s="1"/>
      <c r="Z475" s="322">
        <v>38771</v>
      </c>
      <c r="AA475" s="323">
        <v>215</v>
      </c>
      <c r="AB475" s="323">
        <v>158.5</v>
      </c>
    </row>
    <row r="476" spans="1:28">
      <c r="A476" s="264">
        <v>38750</v>
      </c>
      <c r="B476" s="264">
        <v>38750</v>
      </c>
      <c r="C476" s="267">
        <v>205</v>
      </c>
      <c r="D476" s="267">
        <v>145</v>
      </c>
      <c r="E476" s="392">
        <v>153.5</v>
      </c>
      <c r="F476" s="1"/>
      <c r="Z476" s="322">
        <v>38778</v>
      </c>
      <c r="AA476" s="323">
        <v>227.5</v>
      </c>
      <c r="AB476" s="323">
        <v>166.5</v>
      </c>
    </row>
    <row r="477" spans="1:28">
      <c r="A477" s="264">
        <v>38757</v>
      </c>
      <c r="B477" s="264">
        <v>38757</v>
      </c>
      <c r="C477" s="267">
        <v>211</v>
      </c>
      <c r="D477" s="267">
        <v>155.5</v>
      </c>
      <c r="E477" s="392">
        <v>153.5</v>
      </c>
      <c r="F477" s="1"/>
      <c r="Z477" s="322">
        <v>38785</v>
      </c>
      <c r="AA477" s="323">
        <v>232.5</v>
      </c>
      <c r="AB477" s="323">
        <v>168.5</v>
      </c>
    </row>
    <row r="478" spans="1:28">
      <c r="A478" s="264">
        <v>38764</v>
      </c>
      <c r="B478" s="264">
        <v>38764</v>
      </c>
      <c r="C478" s="267">
        <v>207.5</v>
      </c>
      <c r="D478" s="267">
        <v>157.5</v>
      </c>
      <c r="E478" s="392">
        <v>153.5</v>
      </c>
      <c r="F478" s="1"/>
      <c r="Z478" s="322">
        <v>38792</v>
      </c>
      <c r="AA478" s="323">
        <v>245</v>
      </c>
      <c r="AB478" s="323">
        <v>155</v>
      </c>
    </row>
    <row r="479" spans="1:28">
      <c r="A479" s="264">
        <v>38771</v>
      </c>
      <c r="B479" s="264">
        <v>38771</v>
      </c>
      <c r="C479" s="267">
        <v>215</v>
      </c>
      <c r="D479" s="267">
        <v>158.5</v>
      </c>
      <c r="E479" s="392">
        <v>153.5</v>
      </c>
      <c r="F479" s="1"/>
      <c r="Z479" s="322">
        <v>38799</v>
      </c>
      <c r="AA479" s="323">
        <v>245</v>
      </c>
      <c r="AB479" s="323">
        <v>142.5</v>
      </c>
    </row>
    <row r="480" spans="1:28">
      <c r="A480" s="264">
        <v>38778</v>
      </c>
      <c r="B480" s="264">
        <v>38778</v>
      </c>
      <c r="C480" s="267">
        <v>227.5</v>
      </c>
      <c r="D480" s="267">
        <v>158.5</v>
      </c>
      <c r="E480" s="392">
        <v>151</v>
      </c>
      <c r="F480" s="1"/>
      <c r="Z480" s="322">
        <v>38806</v>
      </c>
      <c r="AA480" s="323">
        <v>240</v>
      </c>
      <c r="AB480" s="323">
        <v>137.5</v>
      </c>
    </row>
    <row r="481" spans="1:28">
      <c r="A481" s="264">
        <v>38785</v>
      </c>
      <c r="B481" s="264">
        <v>38785</v>
      </c>
      <c r="C481" s="267">
        <v>232.5</v>
      </c>
      <c r="D481" s="267">
        <v>166.5</v>
      </c>
      <c r="E481" s="392">
        <v>151</v>
      </c>
      <c r="F481" s="1"/>
      <c r="Z481" s="322">
        <v>38813</v>
      </c>
      <c r="AA481" s="323">
        <v>245</v>
      </c>
      <c r="AB481" s="323">
        <v>135</v>
      </c>
    </row>
    <row r="482" spans="1:28">
      <c r="A482" s="264">
        <v>38792</v>
      </c>
      <c r="B482" s="264">
        <v>38792</v>
      </c>
      <c r="C482" s="267">
        <v>245</v>
      </c>
      <c r="D482" s="267">
        <v>168.5</v>
      </c>
      <c r="E482" s="392">
        <v>151</v>
      </c>
      <c r="F482" s="1"/>
      <c r="Z482" s="322">
        <v>38820</v>
      </c>
      <c r="AA482" s="323">
        <v>240</v>
      </c>
      <c r="AB482" s="323">
        <v>136.5</v>
      </c>
    </row>
    <row r="483" spans="1:28">
      <c r="A483" s="264">
        <v>38799</v>
      </c>
      <c r="B483" s="264">
        <v>38799</v>
      </c>
      <c r="C483" s="267">
        <v>245</v>
      </c>
      <c r="D483" s="267">
        <v>155</v>
      </c>
      <c r="E483" s="392">
        <v>151</v>
      </c>
      <c r="F483" s="1"/>
      <c r="Z483" s="322">
        <v>38827</v>
      </c>
      <c r="AA483" s="323">
        <v>240</v>
      </c>
      <c r="AB483" s="323">
        <v>137.5</v>
      </c>
    </row>
    <row r="484" spans="1:28">
      <c r="A484" s="264">
        <v>38806</v>
      </c>
      <c r="B484" s="264">
        <v>38806</v>
      </c>
      <c r="C484" s="267">
        <v>240</v>
      </c>
      <c r="D484" s="267">
        <v>142.5</v>
      </c>
      <c r="E484" s="392">
        <v>151</v>
      </c>
      <c r="F484" s="1"/>
      <c r="Z484" s="322">
        <v>38834</v>
      </c>
      <c r="AA484" s="323">
        <v>239.5</v>
      </c>
      <c r="AB484" s="323">
        <v>138.5</v>
      </c>
    </row>
    <row r="485" spans="1:28">
      <c r="A485" s="264">
        <v>38813</v>
      </c>
      <c r="B485" s="264">
        <v>38813</v>
      </c>
      <c r="C485" s="267">
        <v>245</v>
      </c>
      <c r="D485" s="267">
        <v>137.5</v>
      </c>
      <c r="E485" s="392">
        <v>151</v>
      </c>
      <c r="F485" s="1"/>
      <c r="Z485" s="322">
        <v>38841</v>
      </c>
      <c r="AA485" s="323">
        <v>235</v>
      </c>
      <c r="AB485" s="323">
        <v>135.5</v>
      </c>
    </row>
    <row r="486" spans="1:28">
      <c r="A486" s="264">
        <v>38820</v>
      </c>
      <c r="B486" s="264">
        <v>38820</v>
      </c>
      <c r="C486" s="267">
        <v>240</v>
      </c>
      <c r="D486" s="267">
        <v>135</v>
      </c>
      <c r="E486" s="392">
        <v>149</v>
      </c>
      <c r="F486" s="1"/>
      <c r="Z486" s="322">
        <v>38848</v>
      </c>
      <c r="AA486" s="323">
        <v>230</v>
      </c>
      <c r="AB486" s="323">
        <v>128.5</v>
      </c>
    </row>
    <row r="487" spans="1:28">
      <c r="A487" s="264">
        <v>38827</v>
      </c>
      <c r="B487" s="264">
        <v>38827</v>
      </c>
      <c r="C487" s="267">
        <v>240</v>
      </c>
      <c r="D487" s="267">
        <v>136.5</v>
      </c>
      <c r="E487" s="392">
        <v>149</v>
      </c>
      <c r="F487" s="1"/>
      <c r="Z487" s="322">
        <v>38855</v>
      </c>
      <c r="AA487" s="323">
        <v>222.5</v>
      </c>
      <c r="AB487" s="323">
        <v>122.5</v>
      </c>
    </row>
    <row r="488" spans="1:28">
      <c r="A488" s="264">
        <v>38834</v>
      </c>
      <c r="B488" s="264">
        <v>38834</v>
      </c>
      <c r="C488" s="267">
        <v>239.5</v>
      </c>
      <c r="D488" s="267">
        <v>137.5</v>
      </c>
      <c r="E488" s="392">
        <v>149</v>
      </c>
      <c r="F488" s="1"/>
      <c r="Z488" s="322">
        <v>38862</v>
      </c>
      <c r="AA488" s="323">
        <v>212</v>
      </c>
      <c r="AB488" s="323">
        <v>122</v>
      </c>
    </row>
    <row r="489" spans="1:28">
      <c r="A489" s="264">
        <v>38841</v>
      </c>
      <c r="B489" s="264">
        <v>38841</v>
      </c>
      <c r="C489" s="267">
        <v>235</v>
      </c>
      <c r="D489" s="267">
        <v>138.5</v>
      </c>
      <c r="E489" s="392">
        <v>149</v>
      </c>
      <c r="F489" s="1"/>
      <c r="Z489" s="322">
        <v>38869</v>
      </c>
      <c r="AA489" s="323">
        <v>212</v>
      </c>
      <c r="AB489" s="323">
        <v>121</v>
      </c>
    </row>
    <row r="490" spans="1:28">
      <c r="A490" s="264">
        <v>38848</v>
      </c>
      <c r="B490" s="264">
        <v>38848</v>
      </c>
      <c r="C490" s="267">
        <v>230</v>
      </c>
      <c r="D490" s="267">
        <v>135.5</v>
      </c>
      <c r="E490" s="392">
        <v>149</v>
      </c>
      <c r="F490" s="1"/>
      <c r="Z490" s="322">
        <v>38883</v>
      </c>
      <c r="AA490" s="323">
        <v>197.5</v>
      </c>
      <c r="AB490" s="323">
        <v>121</v>
      </c>
    </row>
    <row r="491" spans="1:28">
      <c r="A491" s="264">
        <v>38855</v>
      </c>
      <c r="B491" s="264">
        <v>38855</v>
      </c>
      <c r="C491" s="267">
        <v>222.5</v>
      </c>
      <c r="D491" s="267">
        <v>128.5</v>
      </c>
      <c r="E491" s="392">
        <v>146.5</v>
      </c>
      <c r="F491" s="1"/>
      <c r="Z491" s="322">
        <v>38890</v>
      </c>
      <c r="AA491" s="323">
        <v>198</v>
      </c>
      <c r="AB491" s="323">
        <v>125</v>
      </c>
    </row>
    <row r="492" spans="1:28">
      <c r="A492" s="264">
        <v>38862</v>
      </c>
      <c r="B492" s="264">
        <v>38862</v>
      </c>
      <c r="C492" s="267">
        <v>212</v>
      </c>
      <c r="D492" s="267">
        <v>122.5</v>
      </c>
      <c r="E492" s="392">
        <v>146.5</v>
      </c>
      <c r="F492" s="1"/>
      <c r="Z492" s="322">
        <v>38897</v>
      </c>
      <c r="AA492" s="323">
        <v>201</v>
      </c>
      <c r="AB492" s="323">
        <v>127</v>
      </c>
    </row>
    <row r="493" spans="1:28">
      <c r="A493" s="264">
        <v>38869</v>
      </c>
      <c r="B493" s="264">
        <v>38869</v>
      </c>
      <c r="C493" s="267">
        <v>212</v>
      </c>
      <c r="D493" s="267">
        <v>122</v>
      </c>
      <c r="E493" s="392">
        <v>137.5</v>
      </c>
      <c r="F493" s="1"/>
      <c r="Z493" s="322">
        <v>38904</v>
      </c>
      <c r="AA493" s="323">
        <v>201</v>
      </c>
      <c r="AB493" s="323">
        <v>134</v>
      </c>
    </row>
    <row r="494" spans="1:28">
      <c r="A494" s="264">
        <v>38883</v>
      </c>
      <c r="B494" s="264">
        <v>38883</v>
      </c>
      <c r="C494" s="267">
        <v>197.5</v>
      </c>
      <c r="D494" s="267">
        <v>121</v>
      </c>
      <c r="E494" s="392">
        <v>136.5</v>
      </c>
      <c r="F494" s="1"/>
      <c r="Z494" s="322">
        <v>38911</v>
      </c>
      <c r="AA494" s="323">
        <v>200</v>
      </c>
      <c r="AB494" s="323">
        <v>142</v>
      </c>
    </row>
    <row r="495" spans="1:28">
      <c r="A495" s="264">
        <v>38890</v>
      </c>
      <c r="B495" s="264">
        <v>38890</v>
      </c>
      <c r="C495" s="267">
        <v>198</v>
      </c>
      <c r="D495" s="267">
        <v>121</v>
      </c>
      <c r="E495" s="392">
        <v>132.5</v>
      </c>
      <c r="F495" s="1"/>
      <c r="Z495" s="322">
        <v>38918</v>
      </c>
      <c r="AA495" s="323">
        <v>200</v>
      </c>
      <c r="AB495" s="323">
        <v>141</v>
      </c>
    </row>
    <row r="496" spans="1:28">
      <c r="A496" s="264">
        <v>38897</v>
      </c>
      <c r="B496" s="264">
        <v>38897</v>
      </c>
      <c r="C496" s="267">
        <v>201</v>
      </c>
      <c r="D496" s="267">
        <v>125</v>
      </c>
      <c r="E496" s="392">
        <v>130</v>
      </c>
      <c r="Z496" s="322">
        <v>38925</v>
      </c>
      <c r="AA496" s="323">
        <v>195</v>
      </c>
      <c r="AB496" s="323">
        <v>142</v>
      </c>
    </row>
    <row r="497" spans="1:28">
      <c r="A497" s="264">
        <v>38904</v>
      </c>
      <c r="B497" s="264">
        <v>38904</v>
      </c>
      <c r="C497" s="267">
        <v>201</v>
      </c>
      <c r="D497" s="267">
        <v>127</v>
      </c>
      <c r="E497" s="392">
        <v>130</v>
      </c>
      <c r="Z497" s="322">
        <v>38932</v>
      </c>
      <c r="AA497" s="323">
        <v>205</v>
      </c>
      <c r="AB497" s="323">
        <v>142</v>
      </c>
    </row>
    <row r="498" spans="1:28">
      <c r="A498" s="264">
        <v>38911</v>
      </c>
      <c r="B498" s="264">
        <v>38911</v>
      </c>
      <c r="C498" s="267">
        <v>200</v>
      </c>
      <c r="D498" s="267">
        <v>134</v>
      </c>
      <c r="E498" s="392">
        <v>130</v>
      </c>
      <c r="Z498" s="322">
        <v>38939</v>
      </c>
      <c r="AA498" s="323">
        <v>208</v>
      </c>
      <c r="AB498" s="323">
        <v>145.5</v>
      </c>
    </row>
    <row r="499" spans="1:28">
      <c r="A499" s="264">
        <v>38918</v>
      </c>
      <c r="B499" s="264">
        <v>38918</v>
      </c>
      <c r="C499" s="267">
        <v>200</v>
      </c>
      <c r="D499" s="267">
        <v>142</v>
      </c>
      <c r="E499" s="392">
        <v>137.5</v>
      </c>
      <c r="Z499" s="322">
        <v>38946</v>
      </c>
      <c r="AA499" s="323">
        <v>211.5</v>
      </c>
      <c r="AB499" s="323">
        <v>148.5</v>
      </c>
    </row>
    <row r="500" spans="1:28">
      <c r="A500" s="264">
        <v>38925</v>
      </c>
      <c r="B500" s="264">
        <v>38925</v>
      </c>
      <c r="C500" s="267">
        <v>195</v>
      </c>
      <c r="D500" s="267">
        <v>141</v>
      </c>
      <c r="E500" s="392">
        <v>137.5</v>
      </c>
      <c r="Z500" s="322">
        <v>38953</v>
      </c>
      <c r="AA500" s="323">
        <v>214</v>
      </c>
      <c r="AB500" s="323">
        <v>148.5</v>
      </c>
    </row>
    <row r="501" spans="1:28">
      <c r="A501" s="264">
        <v>38932</v>
      </c>
      <c r="B501" s="264">
        <v>38932</v>
      </c>
      <c r="C501" s="267">
        <v>205</v>
      </c>
      <c r="D501" s="267">
        <v>142</v>
      </c>
      <c r="E501" s="392">
        <v>142.5</v>
      </c>
      <c r="Z501" s="322">
        <v>38960</v>
      </c>
      <c r="AA501" s="323">
        <v>211.5</v>
      </c>
      <c r="AB501" s="323">
        <v>147</v>
      </c>
    </row>
    <row r="502" spans="1:28">
      <c r="A502" s="264">
        <v>38939</v>
      </c>
      <c r="B502" s="264">
        <v>38939</v>
      </c>
      <c r="C502" s="267">
        <v>208</v>
      </c>
      <c r="D502" s="267">
        <v>142</v>
      </c>
      <c r="E502" s="392">
        <v>142.5</v>
      </c>
      <c r="Z502" s="322">
        <v>38967</v>
      </c>
      <c r="AA502" s="323">
        <v>207.5</v>
      </c>
      <c r="AB502" s="323">
        <v>144</v>
      </c>
    </row>
    <row r="503" spans="1:28">
      <c r="A503" s="264">
        <v>38946</v>
      </c>
      <c r="B503" s="264">
        <v>38946</v>
      </c>
      <c r="C503" s="267">
        <v>211.5</v>
      </c>
      <c r="D503" s="267">
        <v>145.5</v>
      </c>
      <c r="E503" s="392">
        <v>142.5</v>
      </c>
      <c r="Z503" s="322">
        <v>38974</v>
      </c>
      <c r="AA503" s="323">
        <v>205</v>
      </c>
      <c r="AB503" s="323">
        <v>142.5</v>
      </c>
    </row>
    <row r="504" spans="1:28">
      <c r="A504" s="264">
        <v>38953</v>
      </c>
      <c r="B504" s="264">
        <v>38953</v>
      </c>
      <c r="C504" s="267">
        <v>214</v>
      </c>
      <c r="D504" s="267">
        <v>148.5</v>
      </c>
      <c r="E504" s="392">
        <v>146.5</v>
      </c>
      <c r="Z504" s="322">
        <v>38981</v>
      </c>
      <c r="AA504" s="323">
        <v>208.5</v>
      </c>
      <c r="AB504" s="323">
        <v>141.5</v>
      </c>
    </row>
    <row r="505" spans="1:28">
      <c r="A505" s="264">
        <v>38960</v>
      </c>
      <c r="B505" s="264">
        <v>38960</v>
      </c>
      <c r="C505" s="267">
        <v>211.5</v>
      </c>
      <c r="D505" s="267">
        <v>148.5</v>
      </c>
      <c r="E505" s="392">
        <v>149</v>
      </c>
      <c r="Z505" s="322">
        <v>38988</v>
      </c>
      <c r="AA505" s="323">
        <v>204</v>
      </c>
      <c r="AB505" s="323">
        <v>142.5</v>
      </c>
    </row>
    <row r="506" spans="1:28">
      <c r="A506" s="264">
        <v>38967</v>
      </c>
      <c r="B506" s="264">
        <v>38967</v>
      </c>
      <c r="C506" s="267">
        <v>207.5</v>
      </c>
      <c r="D506" s="267">
        <v>147</v>
      </c>
      <c r="E506" s="392">
        <v>149</v>
      </c>
      <c r="Z506" s="322">
        <v>38995</v>
      </c>
      <c r="AA506" s="323">
        <v>196</v>
      </c>
      <c r="AB506" s="323">
        <v>142.5</v>
      </c>
    </row>
    <row r="507" spans="1:28">
      <c r="A507" s="264">
        <v>38974</v>
      </c>
      <c r="B507" s="264">
        <v>38974</v>
      </c>
      <c r="C507" s="267">
        <v>205</v>
      </c>
      <c r="D507" s="267">
        <v>144</v>
      </c>
      <c r="E507" s="392">
        <v>149</v>
      </c>
      <c r="Z507" s="322">
        <v>39002</v>
      </c>
      <c r="AA507" s="323">
        <v>202.5</v>
      </c>
      <c r="AB507" s="323">
        <v>148</v>
      </c>
    </row>
    <row r="508" spans="1:28">
      <c r="A508" s="264">
        <v>38981</v>
      </c>
      <c r="B508" s="264">
        <v>38981</v>
      </c>
      <c r="C508" s="267">
        <v>208.5</v>
      </c>
      <c r="D508" s="267">
        <v>142.5</v>
      </c>
      <c r="E508" s="392">
        <v>149</v>
      </c>
      <c r="Z508" s="322">
        <v>39009</v>
      </c>
      <c r="AA508" s="323">
        <v>206</v>
      </c>
      <c r="AB508" s="323">
        <v>151</v>
      </c>
    </row>
    <row r="509" spans="1:28">
      <c r="A509" s="264">
        <v>38988</v>
      </c>
      <c r="B509" s="264">
        <v>38988</v>
      </c>
      <c r="C509" s="267">
        <v>204</v>
      </c>
      <c r="D509" s="267">
        <v>141.5</v>
      </c>
      <c r="E509" s="392">
        <v>149</v>
      </c>
      <c r="Z509" s="322">
        <v>39016</v>
      </c>
      <c r="AA509" s="323">
        <v>207</v>
      </c>
      <c r="AB509" s="323">
        <v>148.5</v>
      </c>
    </row>
    <row r="510" spans="1:28">
      <c r="A510" s="264">
        <v>38995</v>
      </c>
      <c r="B510" s="264">
        <v>38995</v>
      </c>
      <c r="C510" s="267">
        <v>196</v>
      </c>
      <c r="D510" s="267">
        <v>142.5</v>
      </c>
      <c r="E510" s="392">
        <v>149</v>
      </c>
      <c r="Z510" s="322">
        <v>39023</v>
      </c>
      <c r="AA510" s="323">
        <v>209</v>
      </c>
      <c r="AB510" s="323">
        <v>154</v>
      </c>
    </row>
    <row r="511" spans="1:28">
      <c r="A511" s="264">
        <v>39002</v>
      </c>
      <c r="B511" s="264">
        <v>39002</v>
      </c>
      <c r="C511" s="267">
        <v>202.5</v>
      </c>
      <c r="D511" s="267">
        <v>142.5</v>
      </c>
      <c r="E511" s="392">
        <v>125</v>
      </c>
      <c r="Z511" s="322">
        <v>39030</v>
      </c>
      <c r="AA511" s="323">
        <v>217.5</v>
      </c>
      <c r="AB511" s="323">
        <v>157.5</v>
      </c>
    </row>
    <row r="512" spans="1:28">
      <c r="A512" s="264">
        <v>39009</v>
      </c>
      <c r="B512" s="264">
        <v>39009</v>
      </c>
      <c r="C512" s="267">
        <v>206</v>
      </c>
      <c r="D512" s="267">
        <v>148</v>
      </c>
      <c r="E512" s="392">
        <v>127.5</v>
      </c>
      <c r="Z512" s="322">
        <v>39037</v>
      </c>
      <c r="AA512" s="323">
        <v>227.5</v>
      </c>
      <c r="AB512" s="323">
        <v>163.5</v>
      </c>
    </row>
    <row r="513" spans="1:28">
      <c r="A513" s="264">
        <v>39016</v>
      </c>
      <c r="B513" s="264">
        <v>39016</v>
      </c>
      <c r="C513" s="267">
        <v>207</v>
      </c>
      <c r="D513" s="267">
        <v>151</v>
      </c>
      <c r="E513" s="392">
        <v>127.5</v>
      </c>
      <c r="Z513" s="322">
        <v>39044</v>
      </c>
      <c r="AA513" s="323">
        <v>240</v>
      </c>
      <c r="AB513" s="323">
        <v>164</v>
      </c>
    </row>
    <row r="514" spans="1:28">
      <c r="A514" s="264">
        <v>39023</v>
      </c>
      <c r="B514" s="264">
        <v>39023</v>
      </c>
      <c r="C514" s="267">
        <v>209</v>
      </c>
      <c r="D514" s="267">
        <v>148.5</v>
      </c>
      <c r="E514" s="392">
        <v>135</v>
      </c>
      <c r="Z514" s="322">
        <v>39051</v>
      </c>
      <c r="AA514" s="323">
        <v>245</v>
      </c>
      <c r="AB514" s="323">
        <v>165</v>
      </c>
    </row>
    <row r="515" spans="1:28">
      <c r="A515" s="264">
        <v>39030</v>
      </c>
      <c r="B515" s="264">
        <v>39030</v>
      </c>
      <c r="C515" s="267">
        <v>217.5</v>
      </c>
      <c r="D515" s="267">
        <v>154</v>
      </c>
      <c r="E515" s="392">
        <v>132.5</v>
      </c>
      <c r="Z515" s="322">
        <v>39058</v>
      </c>
      <c r="AA515" s="323">
        <v>247.5</v>
      </c>
      <c r="AB515" s="323">
        <v>163.5</v>
      </c>
    </row>
    <row r="516" spans="1:28">
      <c r="A516" s="264">
        <v>39037</v>
      </c>
      <c r="B516" s="264">
        <v>39037</v>
      </c>
      <c r="C516" s="267">
        <v>227.5</v>
      </c>
      <c r="D516" s="267">
        <v>157.5</v>
      </c>
      <c r="E516" s="392">
        <v>132.5</v>
      </c>
      <c r="Z516" s="322">
        <v>39065</v>
      </c>
      <c r="AA516" s="323">
        <v>246</v>
      </c>
      <c r="AB516" s="323">
        <v>171.5</v>
      </c>
    </row>
    <row r="517" spans="1:28">
      <c r="A517" s="264">
        <v>39044</v>
      </c>
      <c r="B517" s="264">
        <v>39044</v>
      </c>
      <c r="C517" s="267">
        <v>240</v>
      </c>
      <c r="D517" s="267">
        <v>163.5</v>
      </c>
      <c r="E517" s="392">
        <v>137.5</v>
      </c>
      <c r="Z517" s="322">
        <v>39072</v>
      </c>
      <c r="AA517" s="323">
        <v>250</v>
      </c>
      <c r="AB517" s="323">
        <v>170.5</v>
      </c>
    </row>
    <row r="518" spans="1:28">
      <c r="A518" s="264">
        <v>39051</v>
      </c>
      <c r="B518" s="264">
        <v>39051</v>
      </c>
      <c r="C518" s="267">
        <v>245</v>
      </c>
      <c r="D518" s="267">
        <v>164</v>
      </c>
      <c r="E518" s="392">
        <v>152.5</v>
      </c>
      <c r="Z518" s="322">
        <v>39086</v>
      </c>
      <c r="AA518" s="323">
        <v>250.5</v>
      </c>
      <c r="AB518" s="323">
        <v>169</v>
      </c>
    </row>
    <row r="519" spans="1:28">
      <c r="A519" s="264">
        <v>39058</v>
      </c>
      <c r="B519" s="264">
        <v>39058</v>
      </c>
      <c r="C519" s="267">
        <v>247.5</v>
      </c>
      <c r="D519" s="267">
        <v>165</v>
      </c>
      <c r="E519" s="392">
        <v>152.5</v>
      </c>
      <c r="Z519" s="322">
        <v>39093</v>
      </c>
      <c r="AA519" s="323">
        <v>252</v>
      </c>
      <c r="AB519" s="323">
        <v>171</v>
      </c>
    </row>
    <row r="520" spans="1:28">
      <c r="A520" s="264">
        <v>39065</v>
      </c>
      <c r="B520" s="264">
        <v>39065</v>
      </c>
      <c r="C520" s="267">
        <v>246</v>
      </c>
      <c r="D520" s="267">
        <v>163.5</v>
      </c>
      <c r="E520" s="392">
        <v>152.5</v>
      </c>
      <c r="Z520" s="322">
        <v>39100</v>
      </c>
      <c r="AA520" s="323">
        <v>266</v>
      </c>
      <c r="AB520" s="323">
        <v>176</v>
      </c>
    </row>
    <row r="521" spans="1:28">
      <c r="A521" s="264">
        <v>39072</v>
      </c>
      <c r="B521" s="264">
        <v>39072</v>
      </c>
      <c r="C521" s="267">
        <v>250</v>
      </c>
      <c r="D521" s="267">
        <v>171.5</v>
      </c>
      <c r="E521" s="392">
        <v>152.5</v>
      </c>
      <c r="Z521" s="322">
        <v>39107</v>
      </c>
      <c r="AA521" s="323">
        <v>272</v>
      </c>
      <c r="AB521" s="323">
        <v>177.5</v>
      </c>
    </row>
    <row r="522" spans="1:28">
      <c r="A522" s="264">
        <v>39086</v>
      </c>
      <c r="B522" s="264">
        <v>39086</v>
      </c>
      <c r="C522" s="267">
        <v>250.5</v>
      </c>
      <c r="D522" s="267">
        <v>170.5</v>
      </c>
      <c r="E522" s="392">
        <v>173</v>
      </c>
      <c r="Z522" s="322">
        <v>39114</v>
      </c>
      <c r="AA522" s="323">
        <v>275</v>
      </c>
      <c r="AB522" s="323">
        <v>179.5</v>
      </c>
    </row>
    <row r="523" spans="1:28">
      <c r="A523" s="264">
        <v>39093</v>
      </c>
      <c r="B523" s="264">
        <v>39093</v>
      </c>
      <c r="C523" s="267">
        <v>252</v>
      </c>
      <c r="D523" s="267">
        <v>169</v>
      </c>
      <c r="E523" s="392">
        <v>173</v>
      </c>
      <c r="Z523" s="322">
        <v>39121</v>
      </c>
      <c r="AA523" s="323">
        <v>281.5</v>
      </c>
      <c r="AB523" s="323">
        <v>185</v>
      </c>
    </row>
    <row r="524" spans="1:28">
      <c r="A524" s="264">
        <v>39100</v>
      </c>
      <c r="B524" s="264">
        <v>39100</v>
      </c>
      <c r="C524" s="267">
        <v>266</v>
      </c>
      <c r="D524" s="267">
        <v>171</v>
      </c>
      <c r="E524" s="392">
        <v>173</v>
      </c>
      <c r="Z524" s="322">
        <v>39128</v>
      </c>
      <c r="AA524" s="323">
        <v>292.5</v>
      </c>
      <c r="AB524" s="323">
        <v>191</v>
      </c>
    </row>
    <row r="525" spans="1:28">
      <c r="A525" s="264">
        <v>39107</v>
      </c>
      <c r="B525" s="264">
        <v>39107</v>
      </c>
      <c r="C525" s="267">
        <v>272</v>
      </c>
      <c r="D525" s="267">
        <v>176</v>
      </c>
      <c r="E525" s="392">
        <v>177.5</v>
      </c>
      <c r="Z525" s="322">
        <v>39135</v>
      </c>
      <c r="AA525" s="323">
        <v>301</v>
      </c>
      <c r="AB525" s="323">
        <v>195</v>
      </c>
    </row>
    <row r="526" spans="1:28">
      <c r="A526" s="264">
        <v>39114</v>
      </c>
      <c r="B526" s="264">
        <v>39114</v>
      </c>
      <c r="C526" s="267">
        <v>275</v>
      </c>
      <c r="D526" s="267">
        <v>177.5</v>
      </c>
      <c r="E526" s="392">
        <v>175</v>
      </c>
      <c r="Z526" s="322">
        <v>39142</v>
      </c>
      <c r="AA526" s="323">
        <v>307</v>
      </c>
      <c r="AB526" s="323">
        <v>210</v>
      </c>
    </row>
    <row r="527" spans="1:28">
      <c r="A527" s="264">
        <v>39121</v>
      </c>
      <c r="B527" s="264">
        <v>39121</v>
      </c>
      <c r="C527" s="267">
        <v>281.5</v>
      </c>
      <c r="D527" s="267">
        <v>179.5</v>
      </c>
      <c r="E527" s="392">
        <v>175</v>
      </c>
      <c r="Z527" s="322">
        <v>39149</v>
      </c>
      <c r="AA527" s="323">
        <v>310</v>
      </c>
      <c r="AB527" s="323">
        <v>210</v>
      </c>
    </row>
    <row r="528" spans="1:28">
      <c r="A528" s="264">
        <v>39128</v>
      </c>
      <c r="B528" s="264">
        <v>39128</v>
      </c>
      <c r="C528" s="267">
        <v>292.5</v>
      </c>
      <c r="D528" s="267">
        <v>185</v>
      </c>
      <c r="E528" s="392">
        <v>187.5</v>
      </c>
      <c r="Z528" s="322">
        <v>39156</v>
      </c>
      <c r="AA528" s="323">
        <v>311.5</v>
      </c>
      <c r="AB528" s="323">
        <v>208.5</v>
      </c>
    </row>
    <row r="529" spans="1:28">
      <c r="A529" s="264">
        <v>39135</v>
      </c>
      <c r="B529" s="264">
        <v>39135</v>
      </c>
      <c r="C529" s="267">
        <v>301</v>
      </c>
      <c r="D529" s="267">
        <v>191</v>
      </c>
      <c r="E529" s="392">
        <v>201</v>
      </c>
      <c r="Z529" s="322">
        <v>39163</v>
      </c>
      <c r="AA529" s="323">
        <v>307.5</v>
      </c>
      <c r="AB529" s="323">
        <v>210</v>
      </c>
    </row>
    <row r="530" spans="1:28">
      <c r="A530" s="264">
        <v>39142</v>
      </c>
      <c r="B530" s="264">
        <v>39142</v>
      </c>
      <c r="C530" s="267">
        <v>307</v>
      </c>
      <c r="D530" s="267">
        <v>195</v>
      </c>
      <c r="E530" s="392">
        <v>201</v>
      </c>
      <c r="Z530" s="322">
        <v>39170</v>
      </c>
      <c r="AA530" s="323">
        <v>297.5</v>
      </c>
      <c r="AB530" s="323">
        <v>205</v>
      </c>
    </row>
    <row r="531" spans="1:28">
      <c r="A531" s="264">
        <v>39149</v>
      </c>
      <c r="B531" s="264">
        <v>39149</v>
      </c>
      <c r="C531" s="267">
        <v>310</v>
      </c>
      <c r="D531" s="267">
        <v>210</v>
      </c>
      <c r="E531" s="392">
        <v>201</v>
      </c>
      <c r="Z531" s="322">
        <v>39177</v>
      </c>
      <c r="AA531" s="323">
        <v>292.5</v>
      </c>
      <c r="AB531" s="323">
        <v>197.5</v>
      </c>
    </row>
    <row r="532" spans="1:28">
      <c r="A532" s="264">
        <v>39156</v>
      </c>
      <c r="B532" s="264">
        <v>39156</v>
      </c>
      <c r="C532" s="267">
        <v>311.5</v>
      </c>
      <c r="D532" s="267">
        <v>210</v>
      </c>
      <c r="E532" s="392">
        <v>201</v>
      </c>
      <c r="Z532" s="322">
        <v>39184</v>
      </c>
      <c r="AA532" s="323">
        <v>280</v>
      </c>
      <c r="AB532" s="323">
        <v>185</v>
      </c>
    </row>
    <row r="533" spans="1:28">
      <c r="A533" s="264">
        <v>39163</v>
      </c>
      <c r="B533" s="264">
        <v>39163</v>
      </c>
      <c r="C533" s="267">
        <v>307.5</v>
      </c>
      <c r="D533" s="267">
        <v>208.5</v>
      </c>
      <c r="E533" s="392">
        <v>201</v>
      </c>
      <c r="Z533" s="322">
        <v>39191</v>
      </c>
      <c r="AA533" s="323">
        <v>280.5</v>
      </c>
      <c r="AB533" s="323">
        <v>177.5</v>
      </c>
    </row>
    <row r="534" spans="1:28">
      <c r="A534" s="264">
        <v>39170</v>
      </c>
      <c r="B534" s="264">
        <v>39170</v>
      </c>
      <c r="C534" s="267">
        <v>297.5</v>
      </c>
      <c r="D534" s="267">
        <v>210</v>
      </c>
      <c r="E534" s="392">
        <v>217.5</v>
      </c>
      <c r="Z534" s="322">
        <v>39198</v>
      </c>
      <c r="AA534" s="323">
        <v>286</v>
      </c>
      <c r="AB534" s="323">
        <v>172.5</v>
      </c>
    </row>
    <row r="535" spans="1:28">
      <c r="A535" s="264">
        <v>39177</v>
      </c>
      <c r="B535" s="264">
        <v>39177</v>
      </c>
      <c r="C535" s="267">
        <v>292.5</v>
      </c>
      <c r="D535" s="267">
        <v>205</v>
      </c>
      <c r="E535" s="392">
        <v>217.5</v>
      </c>
      <c r="Z535" s="322">
        <v>39205</v>
      </c>
      <c r="AA535" s="323">
        <v>296</v>
      </c>
      <c r="AB535" s="323">
        <v>167.5</v>
      </c>
    </row>
    <row r="536" spans="1:28">
      <c r="A536" s="264">
        <v>39184</v>
      </c>
      <c r="B536" s="264">
        <v>39184</v>
      </c>
      <c r="C536" s="267">
        <v>280</v>
      </c>
      <c r="D536" s="267">
        <v>197.5</v>
      </c>
      <c r="E536" s="392">
        <v>217.5</v>
      </c>
      <c r="Z536" s="322">
        <v>39212</v>
      </c>
      <c r="AA536" s="323">
        <v>287.5</v>
      </c>
      <c r="AB536" s="323">
        <v>157.5</v>
      </c>
    </row>
    <row r="537" spans="1:28">
      <c r="A537" s="264">
        <v>39191</v>
      </c>
      <c r="B537" s="264">
        <v>39191</v>
      </c>
      <c r="C537" s="267">
        <v>280.5</v>
      </c>
      <c r="D537" s="267">
        <v>185</v>
      </c>
      <c r="E537" s="392">
        <v>212.5</v>
      </c>
      <c r="Z537" s="322">
        <v>39219</v>
      </c>
      <c r="AA537" s="323">
        <v>289</v>
      </c>
      <c r="AB537" s="323">
        <v>150</v>
      </c>
    </row>
    <row r="538" spans="1:28">
      <c r="A538" s="264">
        <v>39198</v>
      </c>
      <c r="B538" s="264">
        <v>39198</v>
      </c>
      <c r="C538" s="267">
        <v>286</v>
      </c>
      <c r="D538" s="267">
        <v>177.5</v>
      </c>
      <c r="E538" s="392">
        <v>212.5</v>
      </c>
      <c r="Z538" s="322">
        <v>39233</v>
      </c>
      <c r="AA538" s="323">
        <v>283.5</v>
      </c>
      <c r="AB538" s="323">
        <v>157</v>
      </c>
    </row>
    <row r="539" spans="1:28">
      <c r="A539" s="264">
        <v>39205</v>
      </c>
      <c r="B539" s="264">
        <v>39205</v>
      </c>
      <c r="C539" s="267">
        <v>296</v>
      </c>
      <c r="D539" s="267">
        <v>172.5</v>
      </c>
      <c r="E539" s="392">
        <v>212.5</v>
      </c>
      <c r="Z539" s="322">
        <v>39240</v>
      </c>
      <c r="AA539" s="323">
        <v>285</v>
      </c>
      <c r="AB539" s="323">
        <v>157.5</v>
      </c>
    </row>
    <row r="540" spans="1:28">
      <c r="A540" s="264">
        <v>39212</v>
      </c>
      <c r="B540" s="264">
        <v>39212</v>
      </c>
      <c r="C540" s="267">
        <v>287.5</v>
      </c>
      <c r="D540" s="267">
        <v>167.5</v>
      </c>
      <c r="E540" s="392">
        <v>206.5</v>
      </c>
      <c r="Z540" s="322">
        <v>39247</v>
      </c>
      <c r="AA540" s="323">
        <v>282.5</v>
      </c>
      <c r="AB540" s="323">
        <v>157.5</v>
      </c>
    </row>
    <row r="541" spans="1:28">
      <c r="A541" s="264">
        <v>39219</v>
      </c>
      <c r="B541" s="264">
        <v>39219</v>
      </c>
      <c r="C541" s="267">
        <v>289</v>
      </c>
      <c r="D541" s="267">
        <v>157.5</v>
      </c>
      <c r="E541" s="392">
        <v>206.5</v>
      </c>
      <c r="Z541" s="322">
        <v>39254</v>
      </c>
      <c r="AA541" s="323">
        <v>272.5</v>
      </c>
      <c r="AB541" s="323">
        <v>162.5</v>
      </c>
    </row>
    <row r="542" spans="1:28">
      <c r="A542" s="264">
        <v>39233</v>
      </c>
      <c r="B542" s="264">
        <v>39233</v>
      </c>
      <c r="C542" s="267">
        <v>283.5</v>
      </c>
      <c r="D542" s="267">
        <v>150</v>
      </c>
      <c r="E542" s="392">
        <v>200</v>
      </c>
      <c r="Z542" s="322">
        <v>39261</v>
      </c>
      <c r="AA542" s="323">
        <v>271.5</v>
      </c>
      <c r="AB542" s="323">
        <v>164</v>
      </c>
    </row>
    <row r="543" spans="1:28">
      <c r="A543" s="264">
        <v>39240</v>
      </c>
      <c r="B543" s="264">
        <v>39240</v>
      </c>
      <c r="C543" s="267">
        <v>285</v>
      </c>
      <c r="D543" s="267">
        <v>157</v>
      </c>
      <c r="E543" s="392">
        <v>187.5</v>
      </c>
      <c r="Z543" s="322">
        <v>39268</v>
      </c>
      <c r="AA543" s="323">
        <v>271.5</v>
      </c>
      <c r="AB543" s="323">
        <v>165</v>
      </c>
    </row>
    <row r="544" spans="1:28">
      <c r="A544" s="264">
        <v>39247</v>
      </c>
      <c r="B544" s="264">
        <v>39247</v>
      </c>
      <c r="C544" s="267">
        <v>282.5</v>
      </c>
      <c r="D544" s="267">
        <v>157.5</v>
      </c>
      <c r="E544" s="392">
        <v>186.5</v>
      </c>
      <c r="Z544" s="322">
        <v>39275</v>
      </c>
      <c r="AA544" s="323">
        <v>268</v>
      </c>
      <c r="AB544" s="323">
        <v>165</v>
      </c>
    </row>
    <row r="545" spans="1:28">
      <c r="A545" s="264">
        <v>39254</v>
      </c>
      <c r="B545" s="264">
        <v>39254</v>
      </c>
      <c r="C545" s="267">
        <v>272.5</v>
      </c>
      <c r="D545" s="267">
        <v>157.5</v>
      </c>
      <c r="E545" s="392">
        <v>186.5</v>
      </c>
      <c r="Z545" s="322">
        <v>39282</v>
      </c>
      <c r="AA545" s="323">
        <v>263</v>
      </c>
      <c r="AB545" s="323">
        <v>167.5</v>
      </c>
    </row>
    <row r="546" spans="1:28">
      <c r="A546" s="264">
        <v>39261</v>
      </c>
      <c r="B546" s="264">
        <v>39261</v>
      </c>
      <c r="C546" s="267">
        <v>271.5</v>
      </c>
      <c r="D546" s="267">
        <v>162.5</v>
      </c>
      <c r="E546" s="392">
        <v>196</v>
      </c>
      <c r="Z546" s="322">
        <v>39289</v>
      </c>
      <c r="AA546" s="323">
        <v>257</v>
      </c>
      <c r="AB546" s="323">
        <v>177.5</v>
      </c>
    </row>
    <row r="547" spans="1:28">
      <c r="A547" s="264">
        <v>39268</v>
      </c>
      <c r="B547" s="264">
        <v>39268</v>
      </c>
      <c r="C547" s="267">
        <v>271.5</v>
      </c>
      <c r="D547" s="267">
        <v>164</v>
      </c>
      <c r="E547" s="392">
        <v>210</v>
      </c>
      <c r="Z547" s="322">
        <v>39296</v>
      </c>
      <c r="AA547" s="323">
        <v>252</v>
      </c>
      <c r="AB547" s="323">
        <v>180</v>
      </c>
    </row>
    <row r="548" spans="1:28">
      <c r="A548" s="264">
        <v>39275</v>
      </c>
      <c r="B548" s="264">
        <v>39275</v>
      </c>
      <c r="C548" s="267">
        <v>268</v>
      </c>
      <c r="D548" s="267">
        <v>165</v>
      </c>
      <c r="E548" s="392">
        <v>216.5</v>
      </c>
      <c r="Z548" s="322">
        <v>39303</v>
      </c>
      <c r="AA548" s="323">
        <v>245.5</v>
      </c>
      <c r="AB548" s="323">
        <v>184.5</v>
      </c>
    </row>
    <row r="549" spans="1:28">
      <c r="A549" s="264">
        <v>39282</v>
      </c>
      <c r="B549" s="264">
        <v>39282</v>
      </c>
      <c r="C549" s="267">
        <v>263</v>
      </c>
      <c r="D549" s="267">
        <v>165</v>
      </c>
      <c r="E549" s="392">
        <v>222</v>
      </c>
      <c r="Z549" s="322">
        <v>39310</v>
      </c>
      <c r="AA549" s="323">
        <v>252.5</v>
      </c>
      <c r="AB549" s="323">
        <v>187.5</v>
      </c>
    </row>
    <row r="550" spans="1:28">
      <c r="A550" s="264">
        <v>39289</v>
      </c>
      <c r="B550" s="264">
        <v>39289</v>
      </c>
      <c r="C550" s="267">
        <v>257</v>
      </c>
      <c r="D550" s="267">
        <v>167.5</v>
      </c>
      <c r="E550" s="392">
        <v>227.5</v>
      </c>
      <c r="Z550" s="322">
        <v>39317</v>
      </c>
      <c r="AA550" s="323">
        <v>276.5</v>
      </c>
      <c r="AB550" s="323">
        <v>190</v>
      </c>
    </row>
    <row r="551" spans="1:28">
      <c r="A551" s="264">
        <v>39296</v>
      </c>
      <c r="B551" s="264">
        <v>39296</v>
      </c>
      <c r="C551" s="267">
        <v>252</v>
      </c>
      <c r="D551" s="267">
        <v>177.5</v>
      </c>
      <c r="E551" s="392">
        <v>227.5</v>
      </c>
      <c r="Z551" s="322">
        <v>39324</v>
      </c>
      <c r="AA551" s="323">
        <v>297.5</v>
      </c>
      <c r="AB551" s="323">
        <v>197</v>
      </c>
    </row>
    <row r="552" spans="1:28">
      <c r="A552" s="264">
        <v>39303</v>
      </c>
      <c r="B552" s="264">
        <v>39303</v>
      </c>
      <c r="C552" s="267">
        <v>245.5</v>
      </c>
      <c r="D552" s="267">
        <v>180</v>
      </c>
      <c r="E552" s="392">
        <v>237.5</v>
      </c>
      <c r="Z552" s="322">
        <v>39331</v>
      </c>
      <c r="AA552" s="323">
        <v>302.5</v>
      </c>
      <c r="AB552" s="323">
        <v>202.5</v>
      </c>
    </row>
    <row r="553" spans="1:28">
      <c r="A553" s="264">
        <v>39310</v>
      </c>
      <c r="B553" s="264">
        <v>39310</v>
      </c>
      <c r="C553" s="267">
        <v>252.5</v>
      </c>
      <c r="D553" s="267">
        <v>184.5</v>
      </c>
      <c r="E553" s="392">
        <v>241</v>
      </c>
      <c r="Z553" s="322">
        <v>39338</v>
      </c>
      <c r="AA553" s="323">
        <v>306.5</v>
      </c>
      <c r="AB553" s="323">
        <v>207.5</v>
      </c>
    </row>
    <row r="554" spans="1:28">
      <c r="A554" s="264">
        <v>39317</v>
      </c>
      <c r="B554" s="264">
        <v>39317</v>
      </c>
      <c r="C554" s="267">
        <v>276.5</v>
      </c>
      <c r="D554" s="267">
        <v>187.5</v>
      </c>
      <c r="E554" s="392">
        <v>241</v>
      </c>
      <c r="Z554" s="322">
        <v>39345</v>
      </c>
      <c r="AA554" s="323">
        <v>305.5</v>
      </c>
      <c r="AB554" s="323">
        <v>214.5</v>
      </c>
    </row>
    <row r="555" spans="1:28">
      <c r="A555" s="264">
        <v>39324</v>
      </c>
      <c r="B555" s="264">
        <v>39324</v>
      </c>
      <c r="C555" s="267">
        <v>297.5</v>
      </c>
      <c r="D555" s="267">
        <v>190</v>
      </c>
      <c r="E555" s="392">
        <v>241</v>
      </c>
      <c r="Z555" s="322">
        <v>39352</v>
      </c>
      <c r="AA555" s="323">
        <v>313.5</v>
      </c>
      <c r="AB555" s="323">
        <v>215.5</v>
      </c>
    </row>
    <row r="556" spans="1:28">
      <c r="A556" s="264">
        <v>39331</v>
      </c>
      <c r="B556" s="264">
        <v>39331</v>
      </c>
      <c r="C556" s="267">
        <v>302.5</v>
      </c>
      <c r="D556" s="267">
        <v>197</v>
      </c>
      <c r="E556" s="392">
        <v>241</v>
      </c>
      <c r="Z556" s="322">
        <v>39359</v>
      </c>
      <c r="AA556" s="323">
        <v>318.5</v>
      </c>
      <c r="AB556" s="323">
        <v>216.5</v>
      </c>
    </row>
    <row r="557" spans="1:28">
      <c r="A557" s="264">
        <v>39338</v>
      </c>
      <c r="B557" s="264">
        <v>39338</v>
      </c>
      <c r="C557" s="267">
        <v>306.5</v>
      </c>
      <c r="D557" s="267">
        <v>202.5</v>
      </c>
      <c r="E557" s="392">
        <v>231.5</v>
      </c>
      <c r="Z557" s="322">
        <v>39366</v>
      </c>
      <c r="AA557" s="323">
        <v>324.5</v>
      </c>
      <c r="AB557" s="323">
        <v>217.5</v>
      </c>
    </row>
    <row r="558" spans="1:28">
      <c r="A558" s="264">
        <v>39345</v>
      </c>
      <c r="B558" s="264">
        <v>39345</v>
      </c>
      <c r="C558" s="267">
        <v>305.5</v>
      </c>
      <c r="D558" s="267">
        <v>207.5</v>
      </c>
      <c r="E558" s="392">
        <v>242.5</v>
      </c>
      <c r="Z558" s="322">
        <v>39373</v>
      </c>
      <c r="AA558" s="323">
        <v>328.5</v>
      </c>
      <c r="AB558" s="323">
        <v>224</v>
      </c>
    </row>
    <row r="559" spans="1:28">
      <c r="A559" s="264">
        <v>39352</v>
      </c>
      <c r="B559" s="264">
        <v>39352</v>
      </c>
      <c r="C559" s="267">
        <v>313.5</v>
      </c>
      <c r="D559" s="267">
        <v>214.5</v>
      </c>
      <c r="E559" s="392">
        <v>242.5</v>
      </c>
      <c r="Z559" s="322">
        <v>39380</v>
      </c>
      <c r="AA559" s="323">
        <v>327.5</v>
      </c>
      <c r="AB559" s="323">
        <v>240.5</v>
      </c>
    </row>
    <row r="560" spans="1:28">
      <c r="A560" s="264">
        <v>39359</v>
      </c>
      <c r="B560" s="264">
        <v>39359</v>
      </c>
      <c r="C560" s="267">
        <v>318.5</v>
      </c>
      <c r="D560" s="267">
        <v>215.5</v>
      </c>
      <c r="E560" s="392">
        <v>242.5</v>
      </c>
      <c r="Z560" s="322">
        <v>39387</v>
      </c>
      <c r="AA560" s="323">
        <v>346.5</v>
      </c>
      <c r="AB560" s="323">
        <v>254</v>
      </c>
    </row>
    <row r="561" spans="1:28">
      <c r="A561" s="264">
        <v>39366</v>
      </c>
      <c r="B561" s="264">
        <v>39366</v>
      </c>
      <c r="C561" s="267">
        <v>324.5</v>
      </c>
      <c r="D561" s="267">
        <v>216.5</v>
      </c>
      <c r="E561" s="392">
        <v>242.5</v>
      </c>
      <c r="Z561" s="322">
        <v>39394</v>
      </c>
      <c r="AA561" s="323">
        <v>352.5</v>
      </c>
      <c r="AB561" s="323">
        <v>272.5</v>
      </c>
    </row>
    <row r="562" spans="1:28">
      <c r="A562" s="264">
        <v>39373</v>
      </c>
      <c r="B562" s="264">
        <v>39373</v>
      </c>
      <c r="C562" s="267">
        <v>328.5</v>
      </c>
      <c r="D562" s="267">
        <v>217.5</v>
      </c>
      <c r="E562" s="392">
        <v>251</v>
      </c>
      <c r="Z562" s="322">
        <v>39401</v>
      </c>
      <c r="AA562" s="323">
        <v>360</v>
      </c>
      <c r="AB562" s="323">
        <v>298.5</v>
      </c>
    </row>
    <row r="563" spans="1:28">
      <c r="A563" s="264">
        <v>39380</v>
      </c>
      <c r="B563" s="264">
        <v>39380</v>
      </c>
      <c r="C563" s="267">
        <v>327.5</v>
      </c>
      <c r="D563" s="267">
        <v>224</v>
      </c>
      <c r="E563" s="392">
        <v>259</v>
      </c>
      <c r="Z563" s="322">
        <v>39408</v>
      </c>
      <c r="AA563" s="323">
        <v>385</v>
      </c>
      <c r="AB563" s="323">
        <v>297</v>
      </c>
    </row>
    <row r="564" spans="1:28">
      <c r="A564" s="264">
        <v>39387</v>
      </c>
      <c r="B564" s="264">
        <v>39387</v>
      </c>
      <c r="C564" s="267">
        <v>346.5</v>
      </c>
      <c r="D564" s="267">
        <v>240.5</v>
      </c>
      <c r="E564" s="392">
        <v>262.5</v>
      </c>
      <c r="Z564" s="322">
        <v>39415</v>
      </c>
      <c r="AA564" s="323">
        <v>390</v>
      </c>
      <c r="AB564" s="323">
        <v>300.5</v>
      </c>
    </row>
    <row r="565" spans="1:28">
      <c r="A565" s="264">
        <v>39394</v>
      </c>
      <c r="B565" s="264">
        <v>39394</v>
      </c>
      <c r="C565" s="267">
        <v>352.5</v>
      </c>
      <c r="D565" s="267">
        <v>254</v>
      </c>
      <c r="E565" s="392">
        <v>265</v>
      </c>
      <c r="Z565" s="322">
        <v>39422</v>
      </c>
      <c r="AA565" s="323">
        <v>391</v>
      </c>
      <c r="AB565" s="323">
        <v>315</v>
      </c>
    </row>
    <row r="566" spans="1:28">
      <c r="A566" s="264">
        <v>39401</v>
      </c>
      <c r="B566" s="264">
        <v>39401</v>
      </c>
      <c r="C566" s="267">
        <v>360</v>
      </c>
      <c r="D566" s="267">
        <v>272.5</v>
      </c>
      <c r="E566" s="392">
        <v>265</v>
      </c>
      <c r="Z566" s="322">
        <v>39429</v>
      </c>
      <c r="AA566" s="323">
        <v>384</v>
      </c>
      <c r="AB566" s="323">
        <v>317.5</v>
      </c>
    </row>
    <row r="567" spans="1:28">
      <c r="A567" s="264">
        <v>39408</v>
      </c>
      <c r="B567" s="264">
        <v>39408</v>
      </c>
      <c r="C567" s="267">
        <v>385</v>
      </c>
      <c r="D567" s="267">
        <v>298.5</v>
      </c>
      <c r="E567" s="392">
        <v>280</v>
      </c>
      <c r="Z567" s="322">
        <v>39436</v>
      </c>
      <c r="AA567" s="323">
        <v>380</v>
      </c>
      <c r="AB567" s="323">
        <v>322.5</v>
      </c>
    </row>
    <row r="568" spans="1:28">
      <c r="A568" s="264">
        <v>39415</v>
      </c>
      <c r="B568" s="264">
        <v>39415</v>
      </c>
      <c r="C568" s="267">
        <v>390</v>
      </c>
      <c r="D568" s="267">
        <v>297</v>
      </c>
      <c r="E568" s="392">
        <v>302.5</v>
      </c>
      <c r="Z568" s="322">
        <v>39450</v>
      </c>
      <c r="AA568" s="323">
        <v>377.5</v>
      </c>
      <c r="AB568" s="323">
        <v>325</v>
      </c>
    </row>
    <row r="569" spans="1:28">
      <c r="A569" s="264">
        <v>39422</v>
      </c>
      <c r="B569" s="264">
        <v>39422</v>
      </c>
      <c r="C569" s="267">
        <v>391</v>
      </c>
      <c r="D569" s="267">
        <v>300.5</v>
      </c>
      <c r="E569" s="392">
        <v>305</v>
      </c>
      <c r="Z569" s="322">
        <v>39457</v>
      </c>
      <c r="AA569" s="323">
        <v>377.5</v>
      </c>
      <c r="AB569" s="323">
        <v>324</v>
      </c>
    </row>
    <row r="570" spans="1:28">
      <c r="A570" s="264">
        <v>39429</v>
      </c>
      <c r="B570" s="264">
        <v>39429</v>
      </c>
      <c r="C570" s="267">
        <v>384</v>
      </c>
      <c r="D570" s="267">
        <v>315</v>
      </c>
      <c r="E570" s="392">
        <v>309</v>
      </c>
      <c r="Z570" s="322">
        <v>39464</v>
      </c>
      <c r="AA570" s="323">
        <v>370</v>
      </c>
      <c r="AB570" s="323">
        <v>322.5</v>
      </c>
    </row>
    <row r="571" spans="1:28">
      <c r="A571" s="264">
        <v>39436</v>
      </c>
      <c r="B571" s="264">
        <v>39436</v>
      </c>
      <c r="C571" s="267">
        <v>380</v>
      </c>
      <c r="D571" s="267">
        <v>317.5</v>
      </c>
      <c r="E571" s="392">
        <v>309</v>
      </c>
      <c r="Z571" s="322">
        <v>39471</v>
      </c>
      <c r="AA571" s="323">
        <v>360</v>
      </c>
      <c r="AB571" s="323">
        <v>305</v>
      </c>
    </row>
    <row r="572" spans="1:28">
      <c r="A572" s="264">
        <v>39450</v>
      </c>
      <c r="B572" s="264">
        <v>39450</v>
      </c>
      <c r="C572" s="267">
        <v>377.5</v>
      </c>
      <c r="D572" s="267">
        <v>322.5</v>
      </c>
      <c r="E572" s="392">
        <v>309</v>
      </c>
      <c r="Z572" s="322">
        <v>39478</v>
      </c>
      <c r="AA572" s="323">
        <v>340</v>
      </c>
      <c r="AB572" s="323">
        <v>300</v>
      </c>
    </row>
    <row r="573" spans="1:28">
      <c r="A573" s="264">
        <v>39457</v>
      </c>
      <c r="B573" s="264">
        <v>39457</v>
      </c>
      <c r="C573" s="267">
        <v>377.5</v>
      </c>
      <c r="D573" s="267">
        <v>325</v>
      </c>
      <c r="E573" s="392">
        <v>337.5</v>
      </c>
      <c r="Z573" s="322">
        <v>39485</v>
      </c>
      <c r="AA573" s="323">
        <v>322.5</v>
      </c>
      <c r="AB573" s="323">
        <v>302.5</v>
      </c>
    </row>
    <row r="574" spans="1:28">
      <c r="A574" s="264">
        <v>39464</v>
      </c>
      <c r="B574" s="264">
        <v>39464</v>
      </c>
      <c r="C574" s="267">
        <v>370</v>
      </c>
      <c r="D574" s="267">
        <v>324</v>
      </c>
      <c r="E574" s="392">
        <v>339.5</v>
      </c>
      <c r="Z574" s="322">
        <v>39492</v>
      </c>
      <c r="AA574" s="323">
        <v>327.5</v>
      </c>
      <c r="AB574" s="323">
        <v>300</v>
      </c>
    </row>
    <row r="575" spans="1:28">
      <c r="A575" s="264">
        <v>39471</v>
      </c>
      <c r="B575" s="264">
        <v>39471</v>
      </c>
      <c r="C575" s="267">
        <v>360</v>
      </c>
      <c r="D575" s="267">
        <v>322.5</v>
      </c>
      <c r="E575" s="392">
        <v>339.5</v>
      </c>
      <c r="Z575" s="322">
        <v>39499</v>
      </c>
      <c r="AA575" s="323">
        <v>324</v>
      </c>
      <c r="AB575" s="323">
        <v>307.5</v>
      </c>
    </row>
    <row r="576" spans="1:28">
      <c r="A576" s="264">
        <v>39478</v>
      </c>
      <c r="B576" s="264">
        <v>39478</v>
      </c>
      <c r="C576" s="267">
        <v>340</v>
      </c>
      <c r="D576" s="267">
        <v>305</v>
      </c>
      <c r="E576" s="392">
        <v>299</v>
      </c>
      <c r="Z576" s="322">
        <v>39506</v>
      </c>
      <c r="AA576" s="323">
        <v>315</v>
      </c>
      <c r="AB576" s="323">
        <v>305</v>
      </c>
    </row>
    <row r="577" spans="1:28">
      <c r="A577" s="264">
        <v>39485</v>
      </c>
      <c r="B577" s="264">
        <v>39485</v>
      </c>
      <c r="C577" s="267">
        <v>322.5</v>
      </c>
      <c r="D577" s="267">
        <v>300</v>
      </c>
      <c r="E577" s="392">
        <v>317.5</v>
      </c>
      <c r="Z577" s="322">
        <v>39513</v>
      </c>
      <c r="AA577" s="323">
        <v>330</v>
      </c>
      <c r="AB577" s="323">
        <v>310</v>
      </c>
    </row>
    <row r="578" spans="1:28">
      <c r="A578" s="264">
        <v>39492</v>
      </c>
      <c r="B578" s="264">
        <v>39492</v>
      </c>
      <c r="C578" s="267">
        <v>327.5</v>
      </c>
      <c r="D578" s="267">
        <v>302.5</v>
      </c>
      <c r="E578" s="392">
        <v>327.5</v>
      </c>
      <c r="Z578" s="322">
        <v>39520</v>
      </c>
      <c r="AA578" s="323">
        <v>365</v>
      </c>
      <c r="AB578" s="323">
        <v>320</v>
      </c>
    </row>
    <row r="579" spans="1:28">
      <c r="A579" s="264">
        <v>39499</v>
      </c>
      <c r="B579" s="264">
        <v>39499</v>
      </c>
      <c r="C579" s="267">
        <v>324</v>
      </c>
      <c r="D579" s="267">
        <v>300</v>
      </c>
      <c r="E579" s="392">
        <v>327.5</v>
      </c>
      <c r="Z579" s="322">
        <v>39527</v>
      </c>
      <c r="AA579" s="323">
        <v>392.5</v>
      </c>
      <c r="AB579" s="323">
        <v>318.5</v>
      </c>
    </row>
    <row r="580" spans="1:28">
      <c r="A580" s="264">
        <v>39506</v>
      </c>
      <c r="B580" s="264">
        <v>39506</v>
      </c>
      <c r="C580" s="267">
        <v>315</v>
      </c>
      <c r="D580" s="267">
        <v>307.5</v>
      </c>
      <c r="E580" s="392">
        <v>302.5</v>
      </c>
      <c r="Z580" s="322">
        <v>39534</v>
      </c>
      <c r="AA580" s="323">
        <v>382</v>
      </c>
      <c r="AB580" s="323">
        <v>318.5</v>
      </c>
    </row>
    <row r="581" spans="1:28">
      <c r="A581" s="264">
        <v>39513</v>
      </c>
      <c r="B581" s="264">
        <v>39513</v>
      </c>
      <c r="C581" s="267">
        <v>330</v>
      </c>
      <c r="D581" s="267">
        <v>305</v>
      </c>
      <c r="E581" s="392">
        <v>302.5</v>
      </c>
      <c r="Z581" s="322">
        <v>39541</v>
      </c>
      <c r="AA581" s="323">
        <v>385</v>
      </c>
      <c r="AB581" s="323">
        <v>310</v>
      </c>
    </row>
    <row r="582" spans="1:28">
      <c r="A582" s="264">
        <v>39520</v>
      </c>
      <c r="B582" s="264">
        <v>39520</v>
      </c>
      <c r="C582" s="267">
        <v>365</v>
      </c>
      <c r="D582" s="267">
        <v>310</v>
      </c>
      <c r="E582" s="392">
        <v>302.5</v>
      </c>
      <c r="Z582" s="322">
        <v>39548</v>
      </c>
      <c r="AA582" s="323">
        <v>407.5</v>
      </c>
      <c r="AB582" s="323">
        <v>327.5</v>
      </c>
    </row>
    <row r="583" spans="1:28">
      <c r="A583" s="264">
        <v>39527</v>
      </c>
      <c r="B583" s="264">
        <v>39527</v>
      </c>
      <c r="C583" s="267">
        <v>392.5</v>
      </c>
      <c r="D583" s="267">
        <v>320</v>
      </c>
      <c r="E583" s="392">
        <v>302.5</v>
      </c>
      <c r="Z583" s="322">
        <v>39555</v>
      </c>
      <c r="AA583" s="323">
        <v>477.5</v>
      </c>
      <c r="AB583" s="323">
        <v>345</v>
      </c>
    </row>
    <row r="584" spans="1:28">
      <c r="A584" s="264">
        <v>39534</v>
      </c>
      <c r="B584" s="264">
        <v>39534</v>
      </c>
      <c r="C584" s="267">
        <v>382</v>
      </c>
      <c r="D584" s="267">
        <v>318.5</v>
      </c>
      <c r="E584" s="392">
        <v>302.5</v>
      </c>
      <c r="Z584" s="322">
        <v>39562</v>
      </c>
      <c r="AA584" s="323">
        <v>530</v>
      </c>
      <c r="AB584" s="323">
        <v>345</v>
      </c>
    </row>
    <row r="585" spans="1:28">
      <c r="A585" s="264">
        <v>39541</v>
      </c>
      <c r="B585" s="264">
        <v>39541</v>
      </c>
      <c r="C585" s="267">
        <v>385</v>
      </c>
      <c r="D585" s="267">
        <v>318.5</v>
      </c>
      <c r="E585" s="392">
        <v>302.5</v>
      </c>
      <c r="Z585" s="322">
        <v>39569</v>
      </c>
      <c r="AA585" s="323">
        <v>585</v>
      </c>
      <c r="AB585" s="323">
        <v>345</v>
      </c>
    </row>
    <row r="586" spans="1:28">
      <c r="A586" s="264">
        <v>39548</v>
      </c>
      <c r="B586" s="264">
        <v>39548</v>
      </c>
      <c r="C586" s="267">
        <v>407.5</v>
      </c>
      <c r="D586" s="267">
        <v>310</v>
      </c>
      <c r="E586" s="392">
        <v>297.5</v>
      </c>
      <c r="Z586" s="322">
        <v>39576</v>
      </c>
      <c r="AA586" s="323">
        <v>592</v>
      </c>
      <c r="AB586" s="323">
        <v>355</v>
      </c>
    </row>
    <row r="587" spans="1:28">
      <c r="A587" s="264">
        <v>39555</v>
      </c>
      <c r="B587" s="264">
        <v>39555</v>
      </c>
      <c r="C587" s="267">
        <v>477.5</v>
      </c>
      <c r="D587" s="267">
        <v>327.5</v>
      </c>
      <c r="E587" s="393">
        <v>287.5</v>
      </c>
      <c r="Z587" s="322">
        <v>39583</v>
      </c>
      <c r="AA587" s="323">
        <v>612.5</v>
      </c>
      <c r="AB587" s="323">
        <v>355</v>
      </c>
    </row>
    <row r="588" spans="1:28">
      <c r="A588" s="264">
        <v>39562</v>
      </c>
      <c r="B588" s="264">
        <v>39562</v>
      </c>
      <c r="C588" s="267">
        <v>530</v>
      </c>
      <c r="D588" s="267">
        <v>345</v>
      </c>
      <c r="E588" s="393">
        <v>287.5</v>
      </c>
      <c r="Z588" s="322">
        <v>39597</v>
      </c>
      <c r="AA588" s="323">
        <v>620</v>
      </c>
      <c r="AB588" s="323">
        <v>340</v>
      </c>
    </row>
    <row r="589" spans="1:28">
      <c r="A589" s="264">
        <v>39737</v>
      </c>
      <c r="B589" s="264">
        <v>39737</v>
      </c>
      <c r="C589" s="267">
        <v>330</v>
      </c>
      <c r="D589" s="267">
        <v>290</v>
      </c>
      <c r="E589" s="392">
        <v>477.5</v>
      </c>
      <c r="Z589" s="322">
        <v>39765</v>
      </c>
      <c r="AA589" s="323">
        <v>250</v>
      </c>
      <c r="AB589" s="323">
        <v>155</v>
      </c>
    </row>
    <row r="590" spans="1:28">
      <c r="A590" s="264">
        <v>39744</v>
      </c>
      <c r="B590" s="264">
        <v>39744</v>
      </c>
      <c r="C590" s="267">
        <v>280</v>
      </c>
      <c r="D590" s="267">
        <v>255</v>
      </c>
      <c r="E590" s="392">
        <v>477.5</v>
      </c>
      <c r="Z590" s="322">
        <v>39772</v>
      </c>
      <c r="AA590" s="323">
        <v>238.5</v>
      </c>
      <c r="AB590" s="323">
        <v>142.5</v>
      </c>
    </row>
    <row r="591" spans="1:28">
      <c r="A591" s="264">
        <v>39751</v>
      </c>
      <c r="B591" s="264">
        <v>39751</v>
      </c>
      <c r="C591" s="267">
        <v>282.5</v>
      </c>
      <c r="D591" s="267">
        <v>192.5</v>
      </c>
      <c r="E591" s="392">
        <v>410</v>
      </c>
      <c r="Z591" s="322">
        <v>39779</v>
      </c>
      <c r="AA591" s="323">
        <v>240</v>
      </c>
      <c r="AB591" s="323">
        <v>142.5</v>
      </c>
    </row>
    <row r="592" spans="1:28">
      <c r="A592" s="264">
        <v>39758</v>
      </c>
      <c r="B592" s="264">
        <v>39758</v>
      </c>
      <c r="C592" s="267">
        <v>245</v>
      </c>
      <c r="D592" s="267">
        <v>170</v>
      </c>
      <c r="E592" s="392">
        <v>390</v>
      </c>
      <c r="Z592" s="322">
        <v>39786</v>
      </c>
      <c r="AA592" s="323">
        <v>236.5</v>
      </c>
      <c r="AB592" s="323">
        <v>142.5</v>
      </c>
    </row>
    <row r="593" spans="1:28">
      <c r="A593" s="264">
        <v>39765</v>
      </c>
      <c r="B593" s="264">
        <v>39765</v>
      </c>
      <c r="C593" s="267">
        <v>250</v>
      </c>
      <c r="D593" s="267">
        <v>165</v>
      </c>
      <c r="E593" s="392">
        <v>310</v>
      </c>
      <c r="Z593" s="322">
        <v>39793</v>
      </c>
      <c r="AA593" s="323">
        <v>230.5</v>
      </c>
      <c r="AB593" s="323">
        <v>137.5</v>
      </c>
    </row>
    <row r="594" spans="1:28">
      <c r="A594" s="264">
        <v>39772</v>
      </c>
      <c r="B594" s="264">
        <v>39772</v>
      </c>
      <c r="C594" s="267">
        <v>238.5</v>
      </c>
      <c r="D594" s="267">
        <v>155</v>
      </c>
      <c r="E594" s="392">
        <v>260</v>
      </c>
      <c r="Z594" s="322">
        <v>39800</v>
      </c>
      <c r="AA594" s="323">
        <v>226</v>
      </c>
      <c r="AB594" s="323">
        <v>127.5</v>
      </c>
    </row>
    <row r="595" spans="1:28">
      <c r="A595" s="264">
        <v>39779</v>
      </c>
      <c r="B595" s="264">
        <v>39779</v>
      </c>
      <c r="C595" s="267">
        <v>240</v>
      </c>
      <c r="D595" s="267">
        <v>142.5</v>
      </c>
      <c r="E595" s="392">
        <v>260</v>
      </c>
      <c r="Z595" s="322">
        <v>39813</v>
      </c>
      <c r="AA595" s="323">
        <v>215</v>
      </c>
      <c r="AB595" s="323">
        <v>147.5</v>
      </c>
    </row>
    <row r="596" spans="1:28">
      <c r="A596" s="264">
        <v>39786</v>
      </c>
      <c r="B596" s="264">
        <v>39786</v>
      </c>
      <c r="C596" s="267">
        <v>236.5</v>
      </c>
      <c r="D596" s="267">
        <v>142.5</v>
      </c>
      <c r="E596" s="392">
        <v>260</v>
      </c>
      <c r="Z596" s="322">
        <v>39821</v>
      </c>
      <c r="AA596" s="323">
        <v>220</v>
      </c>
      <c r="AB596" s="323">
        <v>167.5</v>
      </c>
    </row>
    <row r="597" spans="1:28">
      <c r="A597" s="264">
        <v>39793</v>
      </c>
      <c r="B597" s="264">
        <v>39793</v>
      </c>
      <c r="C597" s="267">
        <v>230.5</v>
      </c>
      <c r="D597" s="267">
        <v>142.5</v>
      </c>
      <c r="E597" s="394">
        <v>250</v>
      </c>
      <c r="Z597" s="322">
        <v>39828</v>
      </c>
      <c r="AA597" s="323">
        <v>272.5</v>
      </c>
      <c r="AB597" s="323">
        <v>180</v>
      </c>
    </row>
    <row r="598" spans="1:28">
      <c r="A598" s="264">
        <v>39800</v>
      </c>
      <c r="B598" s="264">
        <v>39800</v>
      </c>
      <c r="C598" s="267">
        <v>226</v>
      </c>
      <c r="D598" s="267">
        <v>137.5</v>
      </c>
      <c r="E598" s="394">
        <v>250</v>
      </c>
      <c r="Z598" s="322">
        <v>39835</v>
      </c>
      <c r="AA598" s="323">
        <v>280</v>
      </c>
      <c r="AB598" s="323">
        <v>190</v>
      </c>
    </row>
    <row r="599" spans="1:28">
      <c r="A599" s="264">
        <v>39813</v>
      </c>
      <c r="B599" s="264">
        <v>39813</v>
      </c>
      <c r="C599" s="267">
        <v>215</v>
      </c>
      <c r="D599" s="267">
        <v>127.5</v>
      </c>
      <c r="E599" s="394">
        <v>240</v>
      </c>
      <c r="Z599" s="322">
        <v>39842</v>
      </c>
      <c r="AA599" s="323">
        <v>260</v>
      </c>
      <c r="AB599" s="323">
        <v>195</v>
      </c>
    </row>
    <row r="600" spans="1:28">
      <c r="A600" s="264">
        <v>39821</v>
      </c>
      <c r="B600" s="264">
        <v>39821</v>
      </c>
      <c r="C600" s="267">
        <v>220</v>
      </c>
      <c r="D600" s="267">
        <v>147.5</v>
      </c>
      <c r="E600" s="394">
        <v>230</v>
      </c>
      <c r="Z600" s="322">
        <v>39849</v>
      </c>
      <c r="AA600" s="323">
        <v>263</v>
      </c>
      <c r="AB600" s="323">
        <v>200</v>
      </c>
    </row>
    <row r="601" spans="1:28">
      <c r="A601" s="264">
        <v>39828</v>
      </c>
      <c r="B601" s="264">
        <v>39828</v>
      </c>
      <c r="C601" s="267">
        <v>272.5</v>
      </c>
      <c r="D601" s="267">
        <v>167.5</v>
      </c>
      <c r="E601" s="394">
        <v>220</v>
      </c>
      <c r="Z601" s="322">
        <v>39856</v>
      </c>
      <c r="AA601" s="323">
        <v>272.5</v>
      </c>
      <c r="AB601" s="323">
        <v>204</v>
      </c>
    </row>
    <row r="602" spans="1:28">
      <c r="A602" s="264">
        <v>39835</v>
      </c>
      <c r="B602" s="264">
        <v>39835</v>
      </c>
      <c r="C602" s="267">
        <v>280</v>
      </c>
      <c r="D602" s="267">
        <v>180</v>
      </c>
      <c r="E602" s="394">
        <v>220</v>
      </c>
      <c r="Z602" s="322">
        <v>39863</v>
      </c>
      <c r="AA602" s="323">
        <v>275</v>
      </c>
      <c r="AB602" s="323">
        <v>202.5</v>
      </c>
    </row>
    <row r="603" spans="1:28">
      <c r="A603" s="264">
        <v>39842</v>
      </c>
      <c r="B603" s="264">
        <v>39842</v>
      </c>
      <c r="C603" s="267">
        <v>260</v>
      </c>
      <c r="D603" s="267">
        <v>190</v>
      </c>
      <c r="E603" s="394">
        <v>210</v>
      </c>
      <c r="Z603" s="322">
        <v>39870</v>
      </c>
      <c r="AA603" s="323">
        <v>278</v>
      </c>
      <c r="AB603" s="323">
        <v>192.5</v>
      </c>
    </row>
    <row r="604" spans="1:28">
      <c r="A604" s="264">
        <v>39849</v>
      </c>
      <c r="B604" s="264">
        <v>39849</v>
      </c>
      <c r="C604" s="267">
        <v>263</v>
      </c>
      <c r="D604" s="267">
        <v>195</v>
      </c>
      <c r="E604" s="394">
        <v>200</v>
      </c>
      <c r="Z604" s="322">
        <v>39877</v>
      </c>
      <c r="AA604" s="323">
        <v>275</v>
      </c>
      <c r="AB604" s="323">
        <v>187.5</v>
      </c>
    </row>
    <row r="605" spans="1:28">
      <c r="A605" s="264">
        <v>39856</v>
      </c>
      <c r="B605" s="264">
        <v>39856</v>
      </c>
      <c r="C605" s="267">
        <v>272.5</v>
      </c>
      <c r="D605" s="267">
        <v>200</v>
      </c>
      <c r="E605" s="394">
        <v>190</v>
      </c>
      <c r="Z605" s="322">
        <v>39884</v>
      </c>
      <c r="AA605" s="323">
        <v>272.5</v>
      </c>
      <c r="AB605" s="323">
        <v>170</v>
      </c>
    </row>
    <row r="606" spans="1:28">
      <c r="A606" s="264">
        <v>39863</v>
      </c>
      <c r="B606" s="264">
        <v>39863</v>
      </c>
      <c r="C606" s="267">
        <v>275</v>
      </c>
      <c r="D606" s="267">
        <v>204</v>
      </c>
      <c r="E606" s="392">
        <v>195</v>
      </c>
      <c r="Z606" s="322">
        <v>39891</v>
      </c>
      <c r="AA606" s="323">
        <v>257.5</v>
      </c>
      <c r="AB606" s="323">
        <v>165</v>
      </c>
    </row>
    <row r="607" spans="1:28">
      <c r="A607" s="264">
        <v>39870</v>
      </c>
      <c r="B607" s="264">
        <v>39870</v>
      </c>
      <c r="C607" s="267">
        <v>278</v>
      </c>
      <c r="D607" s="267">
        <v>202.5</v>
      </c>
      <c r="E607" s="392">
        <v>195</v>
      </c>
      <c r="Z607" s="322">
        <v>39898</v>
      </c>
      <c r="AA607" s="323">
        <v>248.5</v>
      </c>
      <c r="AB607" s="323">
        <v>150</v>
      </c>
    </row>
    <row r="608" spans="1:28">
      <c r="A608" s="264">
        <v>39877</v>
      </c>
      <c r="B608" s="264">
        <v>39877</v>
      </c>
      <c r="C608" s="267">
        <v>275</v>
      </c>
      <c r="D608" s="267">
        <v>192.5</v>
      </c>
      <c r="E608" s="392">
        <v>190</v>
      </c>
      <c r="Z608" s="322">
        <v>39905</v>
      </c>
      <c r="AA608" s="323">
        <v>248</v>
      </c>
      <c r="AB608" s="323">
        <v>142.5</v>
      </c>
    </row>
    <row r="609" spans="1:28">
      <c r="A609" s="264">
        <v>39884</v>
      </c>
      <c r="B609" s="264">
        <v>39884</v>
      </c>
      <c r="C609" s="267">
        <v>272.5</v>
      </c>
      <c r="D609" s="267">
        <v>187.5</v>
      </c>
      <c r="E609" s="392">
        <v>190</v>
      </c>
      <c r="Z609" s="322">
        <v>39912</v>
      </c>
      <c r="AA609" s="323">
        <v>245.5</v>
      </c>
      <c r="AB609" s="323">
        <v>134</v>
      </c>
    </row>
    <row r="610" spans="1:28">
      <c r="A610" s="264">
        <v>39891</v>
      </c>
      <c r="B610" s="264">
        <v>39891</v>
      </c>
      <c r="C610" s="267">
        <v>257.5</v>
      </c>
      <c r="D610" s="267">
        <v>170</v>
      </c>
      <c r="E610" s="392">
        <v>190</v>
      </c>
      <c r="Z610" s="322">
        <v>39919</v>
      </c>
      <c r="AA610" s="323">
        <v>238</v>
      </c>
      <c r="AB610" s="323">
        <v>141.5</v>
      </c>
    </row>
    <row r="611" spans="1:28">
      <c r="A611" s="264">
        <v>39898</v>
      </c>
      <c r="B611" s="264">
        <v>39898</v>
      </c>
      <c r="C611" s="267">
        <v>248.5</v>
      </c>
      <c r="D611" s="267">
        <v>165</v>
      </c>
      <c r="E611" s="392">
        <v>190</v>
      </c>
      <c r="Z611" s="322">
        <v>39926</v>
      </c>
      <c r="AA611" s="323">
        <v>236</v>
      </c>
      <c r="AB611" s="323">
        <v>143.5</v>
      </c>
    </row>
    <row r="612" spans="1:28">
      <c r="A612" s="264">
        <v>39905</v>
      </c>
      <c r="B612" s="264">
        <v>39905</v>
      </c>
      <c r="C612" s="267">
        <v>248</v>
      </c>
      <c r="D612" s="267">
        <v>150</v>
      </c>
      <c r="E612" s="392">
        <v>190</v>
      </c>
      <c r="Z612" s="322">
        <v>39933</v>
      </c>
      <c r="AA612" s="323">
        <v>241</v>
      </c>
      <c r="AB612" s="323">
        <v>142.5</v>
      </c>
    </row>
    <row r="613" spans="1:28">
      <c r="A613" s="264">
        <v>39912</v>
      </c>
      <c r="B613" s="264">
        <v>39912</v>
      </c>
      <c r="C613" s="267">
        <v>245.5</v>
      </c>
      <c r="D613" s="267">
        <v>142.5</v>
      </c>
      <c r="E613" s="392">
        <v>175</v>
      </c>
      <c r="Z613" s="322">
        <v>39940</v>
      </c>
      <c r="AA613" s="323">
        <v>242</v>
      </c>
      <c r="AB613" s="323">
        <v>142.5</v>
      </c>
    </row>
    <row r="614" spans="1:28">
      <c r="A614" s="264">
        <v>39919</v>
      </c>
      <c r="B614" s="264">
        <v>39919</v>
      </c>
      <c r="C614" s="267">
        <v>238</v>
      </c>
      <c r="D614" s="267">
        <v>134</v>
      </c>
      <c r="E614" s="392">
        <v>175</v>
      </c>
      <c r="Z614" s="322">
        <v>39947</v>
      </c>
      <c r="AA614" s="323">
        <v>242</v>
      </c>
      <c r="AB614" s="323">
        <v>140.5</v>
      </c>
    </row>
    <row r="615" spans="1:28">
      <c r="A615" s="264">
        <v>39926</v>
      </c>
      <c r="B615" s="264">
        <v>39926</v>
      </c>
      <c r="C615" s="267">
        <v>236</v>
      </c>
      <c r="D615" s="267">
        <v>141.5</v>
      </c>
      <c r="E615" s="392">
        <v>175</v>
      </c>
      <c r="Z615" s="322">
        <v>39954</v>
      </c>
      <c r="AA615" s="323">
        <v>232.5</v>
      </c>
      <c r="AB615" s="323">
        <v>140</v>
      </c>
    </row>
    <row r="616" spans="1:28">
      <c r="A616" s="264">
        <v>39933</v>
      </c>
      <c r="B616" s="264">
        <v>39933</v>
      </c>
      <c r="C616" s="267">
        <v>241</v>
      </c>
      <c r="D616" s="267">
        <v>143.5</v>
      </c>
      <c r="E616" s="392">
        <v>175</v>
      </c>
      <c r="Z616" s="322">
        <v>39968</v>
      </c>
      <c r="AA616" s="323">
        <v>233.5</v>
      </c>
      <c r="AB616" s="323">
        <v>140</v>
      </c>
    </row>
    <row r="617" spans="1:28">
      <c r="A617" s="264">
        <v>39940</v>
      </c>
      <c r="B617" s="264">
        <v>39940</v>
      </c>
      <c r="C617" s="267">
        <v>242</v>
      </c>
      <c r="D617" s="267">
        <v>142.5</v>
      </c>
      <c r="E617" s="392">
        <v>172.5</v>
      </c>
      <c r="Z617" s="322">
        <v>39975</v>
      </c>
      <c r="AA617" s="323">
        <v>236</v>
      </c>
      <c r="AB617" s="323">
        <v>141</v>
      </c>
    </row>
    <row r="618" spans="1:28">
      <c r="A618" s="264">
        <v>39947</v>
      </c>
      <c r="B618" s="264">
        <v>39947</v>
      </c>
      <c r="C618" s="267">
        <v>242</v>
      </c>
      <c r="D618" s="267">
        <v>142.5</v>
      </c>
      <c r="E618" s="392">
        <v>162.5</v>
      </c>
      <c r="Z618" s="322">
        <v>39982</v>
      </c>
      <c r="AA618" s="323">
        <v>234</v>
      </c>
      <c r="AB618" s="323">
        <v>140.5</v>
      </c>
    </row>
    <row r="619" spans="1:28">
      <c r="A619" s="264">
        <v>39954</v>
      </c>
      <c r="B619" s="264">
        <v>39954</v>
      </c>
      <c r="C619" s="267">
        <v>232.5</v>
      </c>
      <c r="D619" s="267">
        <v>140.5</v>
      </c>
      <c r="E619" s="392">
        <v>162.5</v>
      </c>
      <c r="Z619" s="322">
        <v>39989</v>
      </c>
      <c r="AA619" s="323">
        <v>234</v>
      </c>
      <c r="AB619" s="323">
        <v>139</v>
      </c>
    </row>
    <row r="620" spans="1:28">
      <c r="A620" s="264">
        <v>39968</v>
      </c>
      <c r="B620" s="264">
        <v>39968</v>
      </c>
      <c r="C620" s="267">
        <v>233.5</v>
      </c>
      <c r="D620" s="267">
        <v>140</v>
      </c>
      <c r="E620" s="392">
        <v>162.5</v>
      </c>
      <c r="Z620" s="322">
        <v>39996</v>
      </c>
      <c r="AA620" s="323">
        <v>236</v>
      </c>
      <c r="AB620" s="323">
        <v>140</v>
      </c>
    </row>
    <row r="621" spans="1:28">
      <c r="A621" s="264">
        <v>39975</v>
      </c>
      <c r="B621" s="264">
        <v>39975</v>
      </c>
      <c r="C621" s="267">
        <v>236</v>
      </c>
      <c r="D621" s="267">
        <v>140</v>
      </c>
      <c r="E621" s="392">
        <v>162.5</v>
      </c>
      <c r="Z621" s="322">
        <v>40003</v>
      </c>
      <c r="AA621" s="323">
        <v>236</v>
      </c>
      <c r="AB621" s="323">
        <v>160.5</v>
      </c>
    </row>
    <row r="622" spans="1:28">
      <c r="A622" s="264">
        <v>39982</v>
      </c>
      <c r="B622" s="264">
        <v>39982</v>
      </c>
      <c r="C622" s="267">
        <v>234</v>
      </c>
      <c r="D622" s="267">
        <v>141</v>
      </c>
      <c r="E622" s="392">
        <v>137.5</v>
      </c>
      <c r="Z622" s="322">
        <v>40010</v>
      </c>
      <c r="AA622" s="323">
        <v>238</v>
      </c>
      <c r="AB622" s="323">
        <v>175</v>
      </c>
    </row>
    <row r="623" spans="1:28">
      <c r="A623" s="264">
        <v>39989</v>
      </c>
      <c r="B623" s="264">
        <v>39989</v>
      </c>
      <c r="C623" s="267">
        <v>234</v>
      </c>
      <c r="D623" s="267">
        <v>140.5</v>
      </c>
      <c r="E623" s="392">
        <v>137.5</v>
      </c>
      <c r="Z623" s="322">
        <v>40017</v>
      </c>
      <c r="AA623" s="323">
        <v>242.5</v>
      </c>
      <c r="AB623" s="323">
        <v>187</v>
      </c>
    </row>
    <row r="624" spans="1:28">
      <c r="A624" s="264">
        <v>39996</v>
      </c>
      <c r="B624" s="264">
        <v>39996</v>
      </c>
      <c r="C624" s="267">
        <v>236</v>
      </c>
      <c r="D624" s="267">
        <v>139</v>
      </c>
      <c r="E624" s="392">
        <v>132.5</v>
      </c>
      <c r="Z624" s="322">
        <v>40024</v>
      </c>
      <c r="AA624" s="323">
        <v>253.5</v>
      </c>
      <c r="AB624" s="323">
        <v>187.5</v>
      </c>
    </row>
    <row r="625" spans="1:28">
      <c r="A625" s="264">
        <v>40003</v>
      </c>
      <c r="B625" s="264">
        <v>40003</v>
      </c>
      <c r="C625" s="267">
        <v>236</v>
      </c>
      <c r="D625" s="267">
        <v>140</v>
      </c>
      <c r="E625" s="392">
        <v>132.5</v>
      </c>
      <c r="Z625" s="322">
        <v>40031</v>
      </c>
      <c r="AA625" s="323">
        <v>252.5</v>
      </c>
      <c r="AB625" s="323">
        <v>185.5</v>
      </c>
    </row>
    <row r="626" spans="1:28">
      <c r="A626" s="264">
        <v>40010</v>
      </c>
      <c r="B626" s="264">
        <v>40010</v>
      </c>
      <c r="C626" s="267">
        <v>238</v>
      </c>
      <c r="D626" s="267">
        <v>160.5</v>
      </c>
      <c r="E626" s="392">
        <v>132.5</v>
      </c>
      <c r="Z626" s="322">
        <v>40038</v>
      </c>
      <c r="AA626" s="323">
        <v>251.5</v>
      </c>
      <c r="AB626" s="323">
        <v>172</v>
      </c>
    </row>
    <row r="627" spans="1:28">
      <c r="A627" s="264">
        <v>40017</v>
      </c>
      <c r="B627" s="264">
        <v>40017</v>
      </c>
      <c r="C627" s="267">
        <v>242.5</v>
      </c>
      <c r="D627" s="267">
        <v>175</v>
      </c>
      <c r="E627" s="392">
        <v>132.5</v>
      </c>
      <c r="Z627" s="322">
        <v>40045</v>
      </c>
      <c r="AA627" s="323">
        <v>245.5</v>
      </c>
      <c r="AB627" s="323">
        <v>172</v>
      </c>
    </row>
    <row r="628" spans="1:28">
      <c r="A628" s="264">
        <v>40024</v>
      </c>
      <c r="B628" s="264">
        <v>40024</v>
      </c>
      <c r="C628" s="267">
        <v>253.5</v>
      </c>
      <c r="D628" s="267">
        <v>187</v>
      </c>
      <c r="E628" s="392">
        <v>132.5</v>
      </c>
      <c r="Z628" s="322">
        <v>40052</v>
      </c>
      <c r="AA628" s="323">
        <v>245.5</v>
      </c>
      <c r="AB628" s="323">
        <v>157.5</v>
      </c>
    </row>
    <row r="629" spans="1:28">
      <c r="A629" s="264">
        <v>40031</v>
      </c>
      <c r="B629" s="264">
        <v>40031</v>
      </c>
      <c r="C629" s="267">
        <v>252.5</v>
      </c>
      <c r="D629" s="267">
        <v>187.5</v>
      </c>
      <c r="E629" s="392">
        <v>132.5</v>
      </c>
      <c r="Z629" s="322">
        <v>40059</v>
      </c>
      <c r="AA629" s="323">
        <v>232.5</v>
      </c>
      <c r="AB629" s="323">
        <v>155.5</v>
      </c>
    </row>
    <row r="630" spans="1:28">
      <c r="A630" s="264">
        <v>40038</v>
      </c>
      <c r="B630" s="264">
        <v>40038</v>
      </c>
      <c r="C630" s="267">
        <v>251.5</v>
      </c>
      <c r="D630" s="267">
        <v>185.5</v>
      </c>
      <c r="E630" s="392">
        <v>132.5</v>
      </c>
      <c r="Z630" s="322">
        <v>40066</v>
      </c>
      <c r="AA630" s="323">
        <v>235</v>
      </c>
      <c r="AB630" s="323">
        <v>152</v>
      </c>
    </row>
    <row r="631" spans="1:28">
      <c r="A631" s="264">
        <v>40045</v>
      </c>
      <c r="B631" s="264">
        <v>40045</v>
      </c>
      <c r="C631" s="267">
        <v>245.5</v>
      </c>
      <c r="D631" s="267">
        <v>172</v>
      </c>
      <c r="E631" s="392">
        <v>98.5</v>
      </c>
      <c r="Z631" s="322">
        <v>40073</v>
      </c>
      <c r="AA631" s="323">
        <v>234</v>
      </c>
      <c r="AB631" s="323">
        <v>152</v>
      </c>
    </row>
    <row r="632" spans="1:28">
      <c r="A632" s="264">
        <v>40052</v>
      </c>
      <c r="B632" s="264">
        <v>40052</v>
      </c>
      <c r="C632" s="267">
        <v>245.5</v>
      </c>
      <c r="D632" s="267">
        <v>172</v>
      </c>
      <c r="E632" s="392">
        <v>98.5</v>
      </c>
      <c r="Z632" s="322">
        <v>40080</v>
      </c>
      <c r="AA632" s="323">
        <v>233.5</v>
      </c>
      <c r="AB632" s="323">
        <v>151</v>
      </c>
    </row>
    <row r="633" spans="1:28">
      <c r="A633" s="264">
        <v>40059</v>
      </c>
      <c r="B633" s="264">
        <v>40059</v>
      </c>
      <c r="C633" s="267">
        <v>232.5</v>
      </c>
      <c r="D633" s="267">
        <v>157.5</v>
      </c>
      <c r="E633" s="392">
        <v>116</v>
      </c>
      <c r="Z633" s="322">
        <v>40087</v>
      </c>
      <c r="AA633" s="323">
        <v>229</v>
      </c>
      <c r="AB633" s="323">
        <v>151</v>
      </c>
    </row>
    <row r="634" spans="1:28">
      <c r="A634" s="264">
        <v>40066</v>
      </c>
      <c r="B634" s="264">
        <v>40066</v>
      </c>
      <c r="C634" s="267">
        <v>235</v>
      </c>
      <c r="D634" s="267">
        <v>155.5</v>
      </c>
      <c r="E634" s="392">
        <v>132.5</v>
      </c>
      <c r="Z634" s="322">
        <v>40094</v>
      </c>
      <c r="AA634" s="323">
        <v>233</v>
      </c>
      <c r="AB634" s="323">
        <v>157.5</v>
      </c>
    </row>
    <row r="635" spans="1:28">
      <c r="A635" s="264">
        <v>40073</v>
      </c>
      <c r="B635" s="264">
        <v>40073</v>
      </c>
      <c r="C635" s="267">
        <v>234</v>
      </c>
      <c r="D635" s="267">
        <v>152</v>
      </c>
      <c r="E635" s="392">
        <v>132.5</v>
      </c>
      <c r="Z635" s="322">
        <v>40101</v>
      </c>
      <c r="AA635" s="323">
        <v>233</v>
      </c>
      <c r="AB635" s="323">
        <v>157</v>
      </c>
    </row>
    <row r="636" spans="1:28">
      <c r="A636" s="264">
        <v>40080</v>
      </c>
      <c r="B636" s="264">
        <v>40080</v>
      </c>
      <c r="C636" s="267">
        <v>233.5</v>
      </c>
      <c r="D636" s="267">
        <v>152</v>
      </c>
      <c r="E636" s="392">
        <v>132.5</v>
      </c>
      <c r="Z636" s="322">
        <v>40108</v>
      </c>
      <c r="AA636" s="323">
        <v>232</v>
      </c>
      <c r="AB636" s="323">
        <v>163.5</v>
      </c>
    </row>
    <row r="637" spans="1:28">
      <c r="A637" s="264">
        <v>40087</v>
      </c>
      <c r="B637" s="264">
        <v>40087</v>
      </c>
      <c r="C637" s="267">
        <v>229</v>
      </c>
      <c r="D637" s="267">
        <v>151</v>
      </c>
      <c r="E637" s="392">
        <v>162.5</v>
      </c>
      <c r="Z637" s="322">
        <v>40115</v>
      </c>
      <c r="AA637" s="323">
        <v>231.5</v>
      </c>
      <c r="AB637" s="323">
        <v>165</v>
      </c>
    </row>
    <row r="638" spans="1:28">
      <c r="A638" s="264">
        <v>40094</v>
      </c>
      <c r="B638" s="264">
        <v>40094</v>
      </c>
      <c r="C638" s="267">
        <v>233</v>
      </c>
      <c r="D638" s="267">
        <v>151</v>
      </c>
      <c r="E638" s="392">
        <v>162.5</v>
      </c>
      <c r="Z638" s="322">
        <v>40122</v>
      </c>
      <c r="AA638" s="323">
        <v>230.5</v>
      </c>
      <c r="AB638" s="323">
        <v>164.5</v>
      </c>
    </row>
    <row r="639" spans="1:28">
      <c r="A639" s="264">
        <v>40101</v>
      </c>
      <c r="B639" s="264">
        <v>40101</v>
      </c>
      <c r="C639" s="267">
        <v>233</v>
      </c>
      <c r="D639" s="267">
        <v>157.5</v>
      </c>
      <c r="E639" s="392">
        <v>142.5</v>
      </c>
      <c r="Z639" s="322">
        <v>40129</v>
      </c>
      <c r="AA639" s="323">
        <v>229</v>
      </c>
      <c r="AB639" s="323">
        <v>171.5</v>
      </c>
    </row>
    <row r="640" spans="1:28">
      <c r="A640" s="264">
        <v>40108</v>
      </c>
      <c r="B640" s="264">
        <v>40108</v>
      </c>
      <c r="C640" s="267">
        <v>232</v>
      </c>
      <c r="D640" s="267">
        <v>157</v>
      </c>
      <c r="E640" s="392">
        <v>142.5</v>
      </c>
      <c r="Z640" s="322">
        <v>40136</v>
      </c>
      <c r="AA640" s="323">
        <v>231</v>
      </c>
      <c r="AB640" s="323">
        <v>185</v>
      </c>
    </row>
    <row r="641" spans="1:28">
      <c r="A641" s="264">
        <v>40115</v>
      </c>
      <c r="B641" s="264">
        <v>40115</v>
      </c>
      <c r="C641" s="267">
        <v>231.5</v>
      </c>
      <c r="D641" s="267">
        <v>163.5</v>
      </c>
      <c r="E641" s="392">
        <v>137.5</v>
      </c>
      <c r="Z641" s="322">
        <v>40143</v>
      </c>
      <c r="AA641" s="323">
        <v>241.5</v>
      </c>
      <c r="AB641" s="323">
        <v>187.5</v>
      </c>
    </row>
    <row r="642" spans="1:28">
      <c r="A642" s="264">
        <v>40122</v>
      </c>
      <c r="B642" s="264">
        <v>40122</v>
      </c>
      <c r="C642" s="267">
        <v>230.5</v>
      </c>
      <c r="D642" s="267">
        <v>165</v>
      </c>
      <c r="E642" s="392">
        <v>136.5</v>
      </c>
      <c r="Z642" s="322">
        <v>40150</v>
      </c>
      <c r="AA642" s="323">
        <v>252.5</v>
      </c>
      <c r="AB642" s="323">
        <v>187.5</v>
      </c>
    </row>
    <row r="643" spans="1:28">
      <c r="A643" s="264">
        <v>40129</v>
      </c>
      <c r="B643" s="264">
        <v>40129</v>
      </c>
      <c r="C643" s="267">
        <v>229</v>
      </c>
      <c r="D643" s="267">
        <v>164.5</v>
      </c>
      <c r="E643" s="392">
        <v>136.5</v>
      </c>
      <c r="Z643" s="322">
        <v>40157</v>
      </c>
      <c r="AA643" s="323">
        <v>252.5</v>
      </c>
      <c r="AB643" s="323">
        <v>190</v>
      </c>
    </row>
    <row r="644" spans="1:28">
      <c r="A644" s="264">
        <v>40136</v>
      </c>
      <c r="B644" s="264">
        <v>40136</v>
      </c>
      <c r="C644" s="267">
        <v>231</v>
      </c>
      <c r="D644" s="267">
        <v>171.5</v>
      </c>
      <c r="E644" s="392">
        <v>136.5</v>
      </c>
      <c r="Z644" s="322">
        <v>40164</v>
      </c>
      <c r="AA644" s="323">
        <v>250</v>
      </c>
      <c r="AB644" s="323">
        <v>192.5</v>
      </c>
    </row>
    <row r="645" spans="1:28">
      <c r="A645" s="264">
        <v>40143</v>
      </c>
      <c r="B645" s="264">
        <v>40143</v>
      </c>
      <c r="C645" s="267">
        <v>241.5</v>
      </c>
      <c r="D645" s="267">
        <v>185</v>
      </c>
      <c r="E645" s="392">
        <v>136.5</v>
      </c>
      <c r="Z645" s="322">
        <v>40170</v>
      </c>
      <c r="AA645" s="323">
        <v>252.5</v>
      </c>
      <c r="AB645" s="323">
        <v>200</v>
      </c>
    </row>
    <row r="646" spans="1:28">
      <c r="A646" s="264">
        <v>40150</v>
      </c>
      <c r="B646" s="264">
        <v>40150</v>
      </c>
      <c r="C646" s="267">
        <v>252.5</v>
      </c>
      <c r="D646" s="267">
        <v>187.5</v>
      </c>
      <c r="E646" s="392">
        <v>136.5</v>
      </c>
      <c r="Z646" s="322">
        <v>40185</v>
      </c>
      <c r="AA646" s="324">
        <v>258.5</v>
      </c>
      <c r="AB646" s="323">
        <v>230</v>
      </c>
    </row>
    <row r="647" spans="1:28">
      <c r="A647" s="264">
        <v>40157</v>
      </c>
      <c r="B647" s="264">
        <v>40157</v>
      </c>
      <c r="C647" s="267">
        <v>252.5</v>
      </c>
      <c r="D647" s="267">
        <v>187.5</v>
      </c>
      <c r="E647" s="392">
        <v>152.5</v>
      </c>
      <c r="Z647" s="322">
        <v>40192</v>
      </c>
      <c r="AA647" s="324">
        <v>260</v>
      </c>
      <c r="AB647" s="323">
        <v>235</v>
      </c>
    </row>
    <row r="648" spans="1:28">
      <c r="A648" s="264">
        <v>40164</v>
      </c>
      <c r="B648" s="264">
        <v>40164</v>
      </c>
      <c r="C648" s="267">
        <v>250</v>
      </c>
      <c r="D648" s="267">
        <v>190</v>
      </c>
      <c r="E648" s="392">
        <v>152.5</v>
      </c>
      <c r="Z648" s="322">
        <v>40199</v>
      </c>
      <c r="AA648" s="324">
        <v>272</v>
      </c>
      <c r="AB648" s="323">
        <v>250</v>
      </c>
    </row>
    <row r="649" spans="1:28">
      <c r="A649" s="264">
        <v>40170</v>
      </c>
      <c r="B649" s="264">
        <v>40170</v>
      </c>
      <c r="C649" s="267">
        <v>252.5</v>
      </c>
      <c r="D649" s="267">
        <v>192.5</v>
      </c>
      <c r="E649" s="392">
        <v>152.5</v>
      </c>
      <c r="Z649" s="322">
        <v>40206</v>
      </c>
      <c r="AA649" s="324">
        <v>279</v>
      </c>
      <c r="AB649" s="323">
        <v>250</v>
      </c>
    </row>
    <row r="650" spans="1:28">
      <c r="A650" s="264">
        <v>40185</v>
      </c>
      <c r="B650" s="264">
        <v>40185</v>
      </c>
      <c r="C650" s="267">
        <v>258.5</v>
      </c>
      <c r="D650" s="267">
        <v>200</v>
      </c>
      <c r="E650" s="392">
        <v>157.5</v>
      </c>
      <c r="Z650" s="322">
        <v>40213</v>
      </c>
      <c r="AA650" s="324">
        <v>287</v>
      </c>
      <c r="AB650" s="323">
        <v>254</v>
      </c>
    </row>
    <row r="651" spans="1:28">
      <c r="A651" s="264">
        <v>40192</v>
      </c>
      <c r="B651" s="264">
        <v>40192</v>
      </c>
      <c r="C651" s="267">
        <v>260</v>
      </c>
      <c r="D651" s="267">
        <v>230</v>
      </c>
      <c r="E651" s="392">
        <v>179</v>
      </c>
      <c r="Z651" s="322">
        <v>40220</v>
      </c>
      <c r="AA651" s="324">
        <v>287</v>
      </c>
      <c r="AB651" s="323">
        <v>258.5</v>
      </c>
    </row>
    <row r="652" spans="1:28">
      <c r="A652" s="264">
        <v>40199</v>
      </c>
      <c r="B652" s="264">
        <v>40199</v>
      </c>
      <c r="C652" s="267">
        <v>272</v>
      </c>
      <c r="D652" s="267">
        <v>235</v>
      </c>
      <c r="E652" s="392">
        <v>179</v>
      </c>
      <c r="Z652" s="322">
        <v>40227</v>
      </c>
      <c r="AA652" s="324">
        <v>280</v>
      </c>
      <c r="AB652" s="323">
        <v>258.5</v>
      </c>
    </row>
    <row r="653" spans="1:28">
      <c r="A653" s="264">
        <v>40206</v>
      </c>
      <c r="B653" s="264">
        <v>40206</v>
      </c>
      <c r="C653" s="267">
        <v>279</v>
      </c>
      <c r="D653" s="267">
        <v>250</v>
      </c>
      <c r="E653" s="392">
        <v>179</v>
      </c>
      <c r="Z653" s="322">
        <v>40234</v>
      </c>
      <c r="AA653" s="324">
        <v>274</v>
      </c>
      <c r="AB653" s="323">
        <v>252.5</v>
      </c>
    </row>
    <row r="654" spans="1:28">
      <c r="A654" s="264">
        <v>40213</v>
      </c>
      <c r="B654" s="264">
        <v>40213</v>
      </c>
      <c r="C654" s="267">
        <v>287</v>
      </c>
      <c r="D654" s="267">
        <v>250</v>
      </c>
      <c r="E654" s="392">
        <v>187.5</v>
      </c>
      <c r="Z654" s="322">
        <v>40241</v>
      </c>
      <c r="AA654" s="324">
        <v>271</v>
      </c>
      <c r="AB654" s="323">
        <v>229</v>
      </c>
    </row>
    <row r="655" spans="1:28">
      <c r="A655" s="264">
        <v>40220</v>
      </c>
      <c r="B655" s="264">
        <v>40220</v>
      </c>
      <c r="C655" s="267">
        <v>287</v>
      </c>
      <c r="D655" s="267">
        <v>254</v>
      </c>
      <c r="E655" s="392">
        <v>177.5</v>
      </c>
      <c r="Z655" s="322">
        <v>40248</v>
      </c>
      <c r="AA655" s="324">
        <v>273.5</v>
      </c>
      <c r="AB655" s="323">
        <v>227.5</v>
      </c>
    </row>
    <row r="656" spans="1:28">
      <c r="A656" s="264">
        <v>40227</v>
      </c>
      <c r="B656" s="264">
        <v>40227</v>
      </c>
      <c r="C656" s="267">
        <v>280</v>
      </c>
      <c r="D656" s="267">
        <v>258.5</v>
      </c>
      <c r="E656" s="392">
        <v>177.5</v>
      </c>
      <c r="Z656" s="322">
        <v>40255</v>
      </c>
      <c r="AA656" s="324">
        <v>273.5</v>
      </c>
      <c r="AB656" s="323">
        <v>220</v>
      </c>
    </row>
    <row r="657" spans="1:28">
      <c r="A657" s="264">
        <v>40234</v>
      </c>
      <c r="B657" s="264">
        <v>40234</v>
      </c>
      <c r="C657" s="267">
        <v>274</v>
      </c>
      <c r="D657" s="267">
        <v>258.5</v>
      </c>
      <c r="E657" s="392">
        <v>187.5</v>
      </c>
      <c r="Z657" s="322">
        <v>40262</v>
      </c>
      <c r="AA657" s="324">
        <v>268.5</v>
      </c>
      <c r="AB657" s="323">
        <v>210</v>
      </c>
    </row>
    <row r="658" spans="1:28">
      <c r="A658" s="264">
        <v>40241</v>
      </c>
      <c r="B658" s="264">
        <v>40241</v>
      </c>
      <c r="C658" s="267">
        <v>271</v>
      </c>
      <c r="D658" s="267">
        <v>252.5</v>
      </c>
      <c r="E658" s="392">
        <v>197.5</v>
      </c>
      <c r="Z658" s="322">
        <v>40269</v>
      </c>
      <c r="AA658" s="324">
        <v>261.5</v>
      </c>
      <c r="AB658" s="323">
        <v>203</v>
      </c>
    </row>
    <row r="659" spans="1:28">
      <c r="A659" s="264">
        <v>40248</v>
      </c>
      <c r="B659" s="264">
        <v>40248</v>
      </c>
      <c r="C659" s="267">
        <v>273.5</v>
      </c>
      <c r="D659" s="267">
        <v>229</v>
      </c>
      <c r="E659" s="392">
        <v>197.5</v>
      </c>
      <c r="Z659" s="322">
        <v>40276</v>
      </c>
      <c r="AA659" s="324">
        <v>251.5</v>
      </c>
      <c r="AB659" s="323">
        <v>201.5</v>
      </c>
    </row>
    <row r="660" spans="1:28">
      <c r="A660" s="264">
        <v>40255</v>
      </c>
      <c r="B660" s="264">
        <v>40255</v>
      </c>
      <c r="C660" s="267">
        <v>273.5</v>
      </c>
      <c r="D660" s="267">
        <v>227.5</v>
      </c>
      <c r="E660" s="392">
        <v>197.5</v>
      </c>
      <c r="Z660" s="322">
        <v>40283</v>
      </c>
      <c r="AA660" s="324">
        <v>244</v>
      </c>
      <c r="AB660" s="323">
        <v>200</v>
      </c>
    </row>
    <row r="661" spans="1:28">
      <c r="A661" s="264">
        <v>40262</v>
      </c>
      <c r="B661" s="264">
        <v>40262</v>
      </c>
      <c r="C661" s="267">
        <v>268.5</v>
      </c>
      <c r="D661" s="267">
        <v>220</v>
      </c>
      <c r="E661" s="392">
        <v>197.5</v>
      </c>
      <c r="Z661" s="322">
        <v>40290</v>
      </c>
      <c r="AA661" s="324">
        <v>242.5</v>
      </c>
      <c r="AB661" s="323">
        <v>180</v>
      </c>
    </row>
    <row r="662" spans="1:28">
      <c r="A662" s="264">
        <v>40269</v>
      </c>
      <c r="B662" s="264">
        <v>40269</v>
      </c>
      <c r="C662" s="267">
        <v>261.5</v>
      </c>
      <c r="D662" s="267">
        <v>210</v>
      </c>
      <c r="E662" s="392">
        <v>202.5</v>
      </c>
      <c r="Z662" s="322">
        <v>40297</v>
      </c>
      <c r="AA662" s="324">
        <v>235.5</v>
      </c>
      <c r="AB662" s="323">
        <v>175</v>
      </c>
    </row>
    <row r="663" spans="1:28">
      <c r="A663" s="264">
        <v>40276</v>
      </c>
      <c r="B663" s="264">
        <v>40276</v>
      </c>
      <c r="C663" s="267">
        <v>251.5</v>
      </c>
      <c r="D663" s="267">
        <v>203</v>
      </c>
      <c r="E663" s="392">
        <v>202.5</v>
      </c>
      <c r="Z663" s="322">
        <v>40304</v>
      </c>
      <c r="AA663" s="324">
        <v>232</v>
      </c>
      <c r="AB663" s="323">
        <v>167.5</v>
      </c>
    </row>
    <row r="664" spans="1:28">
      <c r="A664" s="264">
        <v>40283</v>
      </c>
      <c r="B664" s="264">
        <v>40283</v>
      </c>
      <c r="C664" s="267">
        <v>244</v>
      </c>
      <c r="D664" s="267">
        <v>201.5</v>
      </c>
      <c r="E664" s="392">
        <v>202.5</v>
      </c>
      <c r="Z664" s="322">
        <v>40311</v>
      </c>
      <c r="AA664" s="324">
        <v>231.5</v>
      </c>
      <c r="AB664" s="323">
        <v>162.5</v>
      </c>
    </row>
    <row r="665" spans="1:28">
      <c r="A665" s="264">
        <v>40290</v>
      </c>
      <c r="B665" s="264">
        <v>40290</v>
      </c>
      <c r="C665" s="267">
        <v>242.5</v>
      </c>
      <c r="D665" s="267">
        <v>200</v>
      </c>
      <c r="E665" s="392">
        <v>197.5</v>
      </c>
      <c r="Z665" s="322">
        <v>40318</v>
      </c>
      <c r="AA665" s="324">
        <v>222.5</v>
      </c>
      <c r="AB665" s="323">
        <v>162.5</v>
      </c>
    </row>
    <row r="666" spans="1:28">
      <c r="A666" s="264">
        <v>40297</v>
      </c>
      <c r="B666" s="264">
        <v>40297</v>
      </c>
      <c r="C666" s="267">
        <v>235.5</v>
      </c>
      <c r="D666" s="267">
        <v>180</v>
      </c>
      <c r="E666" s="392">
        <v>187.5</v>
      </c>
      <c r="Z666" s="322">
        <v>40325</v>
      </c>
      <c r="AA666" s="324">
        <v>218.5</v>
      </c>
      <c r="AB666" s="323">
        <v>175.5</v>
      </c>
    </row>
    <row r="667" spans="1:28">
      <c r="A667" s="264">
        <v>40304</v>
      </c>
      <c r="B667" s="264">
        <v>40304</v>
      </c>
      <c r="C667" s="267">
        <v>232</v>
      </c>
      <c r="D667" s="267">
        <v>175</v>
      </c>
      <c r="E667" s="392">
        <v>187.5</v>
      </c>
      <c r="Z667" s="322">
        <v>40339</v>
      </c>
      <c r="AA667" s="324">
        <v>219.5</v>
      </c>
      <c r="AB667" s="323">
        <v>178.5</v>
      </c>
    </row>
    <row r="668" spans="1:28">
      <c r="A668" s="264">
        <v>40311</v>
      </c>
      <c r="B668" s="264">
        <v>40311</v>
      </c>
      <c r="C668" s="267">
        <v>231.5</v>
      </c>
      <c r="D668" s="267">
        <v>167.5</v>
      </c>
      <c r="E668" s="392">
        <v>187.5</v>
      </c>
      <c r="Z668" s="322">
        <v>40346</v>
      </c>
      <c r="AA668" s="324">
        <v>224</v>
      </c>
      <c r="AB668" s="323">
        <v>187.5</v>
      </c>
    </row>
    <row r="669" spans="1:28">
      <c r="A669" s="264">
        <v>40318</v>
      </c>
      <c r="B669" s="264">
        <v>40318</v>
      </c>
      <c r="C669" s="267">
        <v>222.5</v>
      </c>
      <c r="D669" s="267">
        <v>162.5</v>
      </c>
      <c r="E669" s="392">
        <v>182.5</v>
      </c>
      <c r="Z669" s="322">
        <v>40353</v>
      </c>
      <c r="AA669" s="324">
        <v>233.5</v>
      </c>
      <c r="AB669" s="323">
        <v>205</v>
      </c>
    </row>
    <row r="670" spans="1:28">
      <c r="A670" s="264">
        <v>40325</v>
      </c>
      <c r="B670" s="264">
        <v>40325</v>
      </c>
      <c r="C670" s="267">
        <v>218.5</v>
      </c>
      <c r="D670" s="267">
        <v>162.5</v>
      </c>
      <c r="E670" s="392">
        <v>177.5</v>
      </c>
      <c r="Z670" s="322">
        <v>40360</v>
      </c>
      <c r="AA670" s="324">
        <v>234.5</v>
      </c>
      <c r="AB670" s="323">
        <v>205</v>
      </c>
    </row>
    <row r="671" spans="1:28">
      <c r="A671" s="264">
        <v>40339</v>
      </c>
      <c r="B671" s="264">
        <v>40339</v>
      </c>
      <c r="C671" s="267">
        <v>219.5</v>
      </c>
      <c r="D671" s="267">
        <v>175.5</v>
      </c>
      <c r="E671" s="392">
        <v>172.5</v>
      </c>
      <c r="Z671" s="322">
        <v>40367</v>
      </c>
      <c r="AA671" s="324">
        <v>241</v>
      </c>
      <c r="AB671" s="323">
        <v>210</v>
      </c>
    </row>
    <row r="672" spans="1:28">
      <c r="A672" s="264">
        <v>40346</v>
      </c>
      <c r="B672" s="264">
        <v>40346</v>
      </c>
      <c r="C672" s="267">
        <v>224</v>
      </c>
      <c r="D672" s="267">
        <v>178.5</v>
      </c>
      <c r="E672" s="392">
        <v>172.5</v>
      </c>
      <c r="Z672" s="322">
        <v>40374</v>
      </c>
      <c r="AA672" s="324">
        <v>247</v>
      </c>
      <c r="AB672" s="323">
        <v>212.5</v>
      </c>
    </row>
    <row r="673" spans="1:28">
      <c r="A673" s="264">
        <v>40353</v>
      </c>
      <c r="B673" s="264">
        <v>40353</v>
      </c>
      <c r="C673" s="267">
        <v>233.5</v>
      </c>
      <c r="D673" s="267">
        <v>187.5</v>
      </c>
      <c r="E673" s="392">
        <v>152.5</v>
      </c>
      <c r="Z673" s="322">
        <v>40381</v>
      </c>
      <c r="AA673" s="324">
        <v>244.5</v>
      </c>
      <c r="AB673" s="323">
        <v>210</v>
      </c>
    </row>
    <row r="674" spans="1:28">
      <c r="A674" s="264">
        <v>40360</v>
      </c>
      <c r="B674" s="264">
        <v>40360</v>
      </c>
      <c r="C674" s="267">
        <v>234.5</v>
      </c>
      <c r="D674" s="267">
        <v>205</v>
      </c>
      <c r="E674" s="392">
        <v>152.5</v>
      </c>
      <c r="Z674" s="322">
        <v>40388</v>
      </c>
      <c r="AA674" s="324">
        <v>242.5</v>
      </c>
      <c r="AB674" s="323">
        <v>207.5</v>
      </c>
    </row>
    <row r="675" spans="1:28">
      <c r="A675" s="264">
        <v>40367</v>
      </c>
      <c r="B675" s="264">
        <v>40367</v>
      </c>
      <c r="C675" s="267">
        <v>241</v>
      </c>
      <c r="D675" s="267">
        <v>205</v>
      </c>
      <c r="E675" s="392">
        <v>152.5</v>
      </c>
      <c r="Z675" s="322">
        <v>40395</v>
      </c>
      <c r="AA675" s="324">
        <v>248</v>
      </c>
      <c r="AB675" s="323">
        <v>212.5</v>
      </c>
    </row>
    <row r="676" spans="1:28">
      <c r="A676" s="264">
        <v>40374</v>
      </c>
      <c r="B676" s="264">
        <v>40374</v>
      </c>
      <c r="C676" s="267">
        <v>247</v>
      </c>
      <c r="D676" s="267">
        <v>210</v>
      </c>
      <c r="E676" s="392">
        <v>152.5</v>
      </c>
      <c r="Z676" s="322">
        <v>40402</v>
      </c>
      <c r="AA676" s="324">
        <v>265</v>
      </c>
      <c r="AB676" s="323">
        <v>215</v>
      </c>
    </row>
    <row r="677" spans="1:28">
      <c r="A677" s="264">
        <v>40381</v>
      </c>
      <c r="B677" s="264">
        <v>40381</v>
      </c>
      <c r="C677" s="267">
        <v>244.5</v>
      </c>
      <c r="D677" s="267">
        <v>212.5</v>
      </c>
      <c r="E677" s="392">
        <v>152.5</v>
      </c>
      <c r="Z677" s="322">
        <v>40409</v>
      </c>
      <c r="AA677" s="324">
        <v>280</v>
      </c>
      <c r="AB677" s="323">
        <v>216</v>
      </c>
    </row>
    <row r="678" spans="1:28">
      <c r="A678" s="264">
        <v>40388</v>
      </c>
      <c r="B678" s="264">
        <v>40388</v>
      </c>
      <c r="C678" s="267">
        <v>242.5</v>
      </c>
      <c r="D678" s="267">
        <v>210</v>
      </c>
      <c r="E678" s="392">
        <v>152.5</v>
      </c>
      <c r="Z678" s="322">
        <v>40416</v>
      </c>
      <c r="AA678" s="324">
        <v>273.5</v>
      </c>
      <c r="AB678" s="323">
        <v>217.5</v>
      </c>
    </row>
    <row r="679" spans="1:28">
      <c r="A679" s="264">
        <v>40395</v>
      </c>
      <c r="B679" s="264">
        <v>40395</v>
      </c>
      <c r="C679" s="267">
        <v>248</v>
      </c>
      <c r="D679" s="267">
        <v>207.5</v>
      </c>
      <c r="E679" s="392">
        <v>147.5</v>
      </c>
      <c r="Z679" s="322">
        <v>40423</v>
      </c>
      <c r="AA679" s="324">
        <v>273.5</v>
      </c>
      <c r="AB679" s="323">
        <v>227.5</v>
      </c>
    </row>
    <row r="680" spans="1:28">
      <c r="A680" s="264">
        <v>40402</v>
      </c>
      <c r="B680" s="264">
        <v>40402</v>
      </c>
      <c r="C680" s="267">
        <v>265</v>
      </c>
      <c r="D680" s="267">
        <v>212.5</v>
      </c>
      <c r="E680" s="392">
        <v>147.5</v>
      </c>
      <c r="Z680" s="322">
        <v>40430</v>
      </c>
      <c r="AA680" s="324">
        <v>289.5</v>
      </c>
      <c r="AB680" s="323">
        <v>250</v>
      </c>
    </row>
    <row r="681" spans="1:28">
      <c r="A681" s="264">
        <v>40409</v>
      </c>
      <c r="B681" s="264">
        <v>40409</v>
      </c>
      <c r="C681" s="267">
        <v>280</v>
      </c>
      <c r="D681" s="267">
        <v>215</v>
      </c>
      <c r="E681" s="392">
        <v>147.5</v>
      </c>
      <c r="Z681" s="322">
        <v>40437</v>
      </c>
      <c r="AA681" s="324">
        <v>315</v>
      </c>
      <c r="AB681" s="323">
        <v>252.5</v>
      </c>
    </row>
    <row r="682" spans="1:28">
      <c r="A682" s="264">
        <v>40416</v>
      </c>
      <c r="B682" s="264">
        <v>40416</v>
      </c>
      <c r="C682" s="267">
        <v>273.5</v>
      </c>
      <c r="D682" s="267">
        <v>216</v>
      </c>
      <c r="E682" s="392">
        <v>157.5</v>
      </c>
      <c r="Z682" s="322">
        <v>40444</v>
      </c>
      <c r="AA682" s="324">
        <v>337.5</v>
      </c>
      <c r="AB682" s="323">
        <v>252.5</v>
      </c>
    </row>
    <row r="683" spans="1:28">
      <c r="A683" s="264">
        <v>40423</v>
      </c>
      <c r="B683" s="264">
        <v>40423</v>
      </c>
      <c r="C683" s="267">
        <v>273.5</v>
      </c>
      <c r="D683" s="267">
        <v>217.5</v>
      </c>
      <c r="E683" s="392">
        <v>162.5</v>
      </c>
      <c r="Z683" s="322">
        <v>40451</v>
      </c>
      <c r="AA683" s="324">
        <v>327.5</v>
      </c>
      <c r="AB683" s="323">
        <v>252.5</v>
      </c>
    </row>
    <row r="684" spans="1:28">
      <c r="A684" s="264">
        <v>40430</v>
      </c>
      <c r="B684" s="264">
        <v>40430</v>
      </c>
      <c r="C684" s="267">
        <v>289.5</v>
      </c>
      <c r="D684" s="267">
        <v>227.5</v>
      </c>
      <c r="E684" s="392">
        <v>179.5</v>
      </c>
      <c r="Z684" s="322">
        <v>40458</v>
      </c>
      <c r="AA684" s="324">
        <v>328.5</v>
      </c>
      <c r="AB684" s="323">
        <v>257.5</v>
      </c>
    </row>
    <row r="685" spans="1:28">
      <c r="A685" s="264">
        <v>40437</v>
      </c>
      <c r="B685" s="264">
        <v>40437</v>
      </c>
      <c r="C685" s="267">
        <v>315</v>
      </c>
      <c r="D685" s="267">
        <v>250</v>
      </c>
      <c r="E685" s="392">
        <v>177.5</v>
      </c>
      <c r="Z685" s="322">
        <v>40465</v>
      </c>
      <c r="AA685" s="324">
        <v>324</v>
      </c>
      <c r="AB685" s="323">
        <v>250.5</v>
      </c>
    </row>
    <row r="686" spans="1:28">
      <c r="A686" s="264">
        <v>40444</v>
      </c>
      <c r="B686" s="264">
        <v>40444</v>
      </c>
      <c r="C686" s="267">
        <v>337.5</v>
      </c>
      <c r="D686" s="267">
        <v>252.5</v>
      </c>
      <c r="E686" s="392">
        <v>202.5</v>
      </c>
      <c r="Z686" s="322">
        <v>40472</v>
      </c>
      <c r="AA686" s="324">
        <v>323.5</v>
      </c>
      <c r="AB686" s="323">
        <v>251.5</v>
      </c>
    </row>
    <row r="687" spans="1:28">
      <c r="A687" s="264">
        <v>40451</v>
      </c>
      <c r="B687" s="264">
        <v>40451</v>
      </c>
      <c r="C687" s="267">
        <v>327.5</v>
      </c>
      <c r="D687" s="267">
        <v>252.5</v>
      </c>
      <c r="E687" s="392">
        <v>202.5</v>
      </c>
      <c r="Z687" s="322">
        <v>40479</v>
      </c>
      <c r="AA687" s="324">
        <v>336.5</v>
      </c>
      <c r="AB687" s="323">
        <v>257.5</v>
      </c>
    </row>
    <row r="688" spans="1:28">
      <c r="A688" s="264">
        <v>40458</v>
      </c>
      <c r="B688" s="264">
        <v>40458</v>
      </c>
      <c r="C688" s="267">
        <v>328.5</v>
      </c>
      <c r="D688" s="267">
        <v>252.5</v>
      </c>
      <c r="E688" s="392">
        <v>222.5</v>
      </c>
      <c r="Z688" s="322">
        <v>40486</v>
      </c>
      <c r="AA688" s="324">
        <v>338</v>
      </c>
      <c r="AB688" s="323">
        <v>271</v>
      </c>
    </row>
    <row r="689" spans="1:28">
      <c r="A689" s="264">
        <v>40465</v>
      </c>
      <c r="B689" s="264">
        <v>40465</v>
      </c>
      <c r="C689" s="267">
        <v>324</v>
      </c>
      <c r="D689" s="267">
        <v>257.5</v>
      </c>
      <c r="E689" s="392">
        <v>222.5</v>
      </c>
      <c r="Z689" s="322">
        <v>40493</v>
      </c>
      <c r="AA689" s="324">
        <v>347.5</v>
      </c>
      <c r="AB689" s="323">
        <v>274</v>
      </c>
    </row>
    <row r="690" spans="1:28">
      <c r="A690" s="264">
        <v>40472</v>
      </c>
      <c r="B690" s="264">
        <v>40472</v>
      </c>
      <c r="C690" s="267">
        <v>323.5</v>
      </c>
      <c r="D690" s="267">
        <v>250.5</v>
      </c>
      <c r="E690" s="392">
        <v>228.5</v>
      </c>
      <c r="Z690" s="322">
        <v>40500</v>
      </c>
      <c r="AA690" s="324">
        <v>363</v>
      </c>
      <c r="AB690" s="323">
        <v>298.5</v>
      </c>
    </row>
    <row r="691" spans="1:28">
      <c r="A691" s="264">
        <v>40479</v>
      </c>
      <c r="B691" s="264">
        <v>40479</v>
      </c>
      <c r="C691" s="267">
        <v>336.5</v>
      </c>
      <c r="D691" s="267">
        <v>251.5</v>
      </c>
      <c r="E691" s="392">
        <v>228.5</v>
      </c>
      <c r="Z691" s="322">
        <v>40507</v>
      </c>
      <c r="AA691" s="324">
        <v>372.5</v>
      </c>
      <c r="AB691" s="323">
        <v>302.5</v>
      </c>
    </row>
    <row r="692" spans="1:28">
      <c r="A692" s="264">
        <v>40486</v>
      </c>
      <c r="B692" s="264">
        <v>40486</v>
      </c>
      <c r="C692" s="267">
        <v>338</v>
      </c>
      <c r="D692" s="267">
        <v>257.5</v>
      </c>
      <c r="E692" s="392">
        <v>228.5</v>
      </c>
      <c r="Z692" s="322">
        <v>40514</v>
      </c>
      <c r="AA692" s="324">
        <v>368</v>
      </c>
      <c r="AB692" s="323">
        <v>305</v>
      </c>
    </row>
    <row r="693" spans="1:28">
      <c r="A693" s="264">
        <v>40493</v>
      </c>
      <c r="B693" s="264">
        <v>40493</v>
      </c>
      <c r="C693" s="267">
        <v>347.5</v>
      </c>
      <c r="D693" s="267">
        <v>271</v>
      </c>
      <c r="E693" s="392">
        <v>265</v>
      </c>
      <c r="Z693" s="322">
        <v>40521</v>
      </c>
      <c r="AA693" s="324">
        <v>362.5</v>
      </c>
      <c r="AB693" s="323">
        <v>305</v>
      </c>
    </row>
    <row r="694" spans="1:28">
      <c r="A694" s="264">
        <v>40500</v>
      </c>
      <c r="B694" s="264">
        <v>40500</v>
      </c>
      <c r="C694" s="267">
        <v>363</v>
      </c>
      <c r="D694" s="267">
        <v>274</v>
      </c>
      <c r="E694" s="392">
        <v>265</v>
      </c>
      <c r="Z694" s="322">
        <v>40528</v>
      </c>
      <c r="AA694" s="324">
        <v>357.5</v>
      </c>
      <c r="AB694" s="323">
        <v>300</v>
      </c>
    </row>
    <row r="695" spans="1:28">
      <c r="A695" s="264">
        <v>40507</v>
      </c>
      <c r="B695" s="264">
        <v>40507</v>
      </c>
      <c r="C695" s="267">
        <v>372.5</v>
      </c>
      <c r="D695" s="267">
        <v>298.5</v>
      </c>
      <c r="E695" s="392">
        <v>265</v>
      </c>
      <c r="Z695" s="322">
        <v>40535</v>
      </c>
      <c r="AA695" s="324">
        <v>362.5</v>
      </c>
      <c r="AB695" s="323">
        <v>297.5</v>
      </c>
    </row>
    <row r="696" spans="1:28">
      <c r="A696" s="264">
        <v>40514</v>
      </c>
      <c r="B696" s="264">
        <v>40514</v>
      </c>
      <c r="C696" s="267">
        <v>368</v>
      </c>
      <c r="D696" s="267">
        <v>302.5</v>
      </c>
      <c r="E696" s="392">
        <v>272.5</v>
      </c>
      <c r="Z696" s="322">
        <v>40549</v>
      </c>
      <c r="AA696" s="324">
        <v>363.5</v>
      </c>
      <c r="AB696" s="323">
        <v>300</v>
      </c>
    </row>
    <row r="697" spans="1:28">
      <c r="A697" s="264">
        <v>40521</v>
      </c>
      <c r="B697" s="264">
        <v>40521</v>
      </c>
      <c r="C697" s="267">
        <v>362.5</v>
      </c>
      <c r="D697" s="267">
        <v>305</v>
      </c>
      <c r="E697" s="392">
        <v>257.5</v>
      </c>
      <c r="Z697" s="322">
        <v>40556</v>
      </c>
      <c r="AA697" s="324">
        <v>360</v>
      </c>
      <c r="AB697" s="323">
        <v>297.5</v>
      </c>
    </row>
    <row r="698" spans="1:28">
      <c r="A698" s="264">
        <v>40528</v>
      </c>
      <c r="B698" s="264">
        <v>40528</v>
      </c>
      <c r="C698" s="267">
        <v>357.5</v>
      </c>
      <c r="D698" s="267">
        <v>305</v>
      </c>
      <c r="E698" s="392">
        <v>260</v>
      </c>
      <c r="Z698" s="322">
        <v>40563</v>
      </c>
      <c r="AA698" s="324">
        <v>366</v>
      </c>
      <c r="AB698" s="323">
        <v>297.5</v>
      </c>
    </row>
    <row r="699" spans="1:28">
      <c r="A699" s="264">
        <v>40535</v>
      </c>
      <c r="B699" s="264">
        <v>40535</v>
      </c>
      <c r="C699" s="267">
        <v>362.5</v>
      </c>
      <c r="D699" s="267">
        <v>300</v>
      </c>
      <c r="E699" s="392">
        <v>260</v>
      </c>
      <c r="Z699" s="322">
        <v>40570</v>
      </c>
      <c r="AA699" s="324">
        <v>363.5</v>
      </c>
      <c r="AB699" s="323">
        <v>303.5</v>
      </c>
    </row>
    <row r="700" spans="1:28">
      <c r="A700" s="264">
        <v>40549</v>
      </c>
      <c r="B700" s="264">
        <v>40549</v>
      </c>
      <c r="C700" s="267">
        <v>363.5</v>
      </c>
      <c r="D700" s="267">
        <v>297.5</v>
      </c>
      <c r="E700" s="392">
        <v>260</v>
      </c>
      <c r="Z700" s="322">
        <v>40577</v>
      </c>
      <c r="AA700" s="324">
        <v>359</v>
      </c>
      <c r="AB700" s="323">
        <v>302.5</v>
      </c>
    </row>
    <row r="701" spans="1:28">
      <c r="A701" s="264">
        <v>40556</v>
      </c>
      <c r="B701" s="264">
        <v>40556</v>
      </c>
      <c r="C701" s="267">
        <v>360</v>
      </c>
      <c r="D701" s="267">
        <v>300</v>
      </c>
      <c r="E701" s="392">
        <v>275</v>
      </c>
      <c r="Z701" s="322">
        <v>40584</v>
      </c>
      <c r="AA701" s="324">
        <v>359</v>
      </c>
      <c r="AB701" s="323">
        <v>298.5</v>
      </c>
    </row>
    <row r="702" spans="1:28">
      <c r="A702" s="264">
        <v>40563</v>
      </c>
      <c r="B702" s="264">
        <v>40563</v>
      </c>
      <c r="C702" s="267">
        <v>366</v>
      </c>
      <c r="D702" s="267">
        <v>297.5</v>
      </c>
      <c r="E702" s="392">
        <v>275</v>
      </c>
      <c r="Z702" s="322">
        <v>40591</v>
      </c>
      <c r="AA702" s="324">
        <v>358</v>
      </c>
      <c r="AB702" s="323">
        <v>290</v>
      </c>
    </row>
    <row r="703" spans="1:28">
      <c r="A703" s="264">
        <v>40570</v>
      </c>
      <c r="B703" s="264">
        <v>40570</v>
      </c>
      <c r="C703" s="267">
        <v>363.5</v>
      </c>
      <c r="D703" s="267">
        <v>297.5</v>
      </c>
      <c r="E703" s="392">
        <v>275</v>
      </c>
      <c r="Z703" s="322">
        <v>40598</v>
      </c>
      <c r="AA703" s="324">
        <v>351</v>
      </c>
      <c r="AB703" s="323">
        <v>290</v>
      </c>
    </row>
    <row r="704" spans="1:28">
      <c r="A704" s="264">
        <v>40577</v>
      </c>
      <c r="B704" s="264">
        <v>40577</v>
      </c>
      <c r="C704" s="267">
        <v>359</v>
      </c>
      <c r="D704" s="267">
        <v>303.5</v>
      </c>
      <c r="E704" s="392">
        <v>267.5</v>
      </c>
      <c r="Z704" s="322">
        <v>40605</v>
      </c>
      <c r="AA704" s="324">
        <v>335</v>
      </c>
      <c r="AB704" s="323">
        <v>295</v>
      </c>
    </row>
    <row r="705" spans="1:28">
      <c r="A705" s="264">
        <v>40584</v>
      </c>
      <c r="B705" s="264">
        <v>40584</v>
      </c>
      <c r="C705" s="267">
        <v>359</v>
      </c>
      <c r="D705" s="267">
        <v>302.5</v>
      </c>
      <c r="E705" s="392">
        <v>262.5</v>
      </c>
      <c r="Z705" s="322">
        <v>40612</v>
      </c>
      <c r="AA705" s="324">
        <v>325</v>
      </c>
      <c r="AB705" s="323">
        <v>290</v>
      </c>
    </row>
    <row r="706" spans="1:28">
      <c r="A706" s="264">
        <v>40591</v>
      </c>
      <c r="B706" s="264">
        <v>40591</v>
      </c>
      <c r="C706" s="267">
        <v>358</v>
      </c>
      <c r="D706" s="267">
        <v>298.5</v>
      </c>
      <c r="E706" s="392">
        <v>262.5</v>
      </c>
      <c r="Z706" s="322">
        <v>40619</v>
      </c>
      <c r="AA706" s="324">
        <v>312.5</v>
      </c>
      <c r="AB706" s="323">
        <v>285</v>
      </c>
    </row>
    <row r="707" spans="1:28">
      <c r="A707" s="264">
        <v>40598</v>
      </c>
      <c r="B707" s="264">
        <v>40598</v>
      </c>
      <c r="C707" s="267">
        <v>351</v>
      </c>
      <c r="D707" s="267">
        <v>290</v>
      </c>
      <c r="E707" s="392">
        <v>262.5</v>
      </c>
      <c r="Z707" s="322">
        <v>40626</v>
      </c>
      <c r="AA707" s="324">
        <v>310</v>
      </c>
      <c r="AB707" s="323">
        <v>280</v>
      </c>
    </row>
    <row r="708" spans="1:28">
      <c r="A708" s="264">
        <v>40605</v>
      </c>
      <c r="B708" s="264">
        <v>40605</v>
      </c>
      <c r="C708" s="267">
        <v>335</v>
      </c>
      <c r="D708" s="267">
        <v>290</v>
      </c>
      <c r="E708" s="392">
        <v>262.5</v>
      </c>
      <c r="Z708" s="322">
        <v>40633</v>
      </c>
      <c r="AA708" s="324">
        <v>302.5</v>
      </c>
      <c r="AB708" s="323">
        <v>280</v>
      </c>
    </row>
    <row r="709" spans="1:28">
      <c r="A709" s="264">
        <v>40612</v>
      </c>
      <c r="B709" s="264">
        <v>40612</v>
      </c>
      <c r="C709" s="267">
        <v>325</v>
      </c>
      <c r="D709" s="267">
        <v>295</v>
      </c>
      <c r="E709" s="392">
        <v>272.5</v>
      </c>
      <c r="Z709" s="322">
        <v>40640</v>
      </c>
      <c r="AA709" s="324">
        <v>311</v>
      </c>
      <c r="AB709" s="323">
        <v>270</v>
      </c>
    </row>
    <row r="710" spans="1:28">
      <c r="A710" s="264">
        <v>40619</v>
      </c>
      <c r="B710" s="264">
        <v>40619</v>
      </c>
      <c r="C710" s="267">
        <v>312.5</v>
      </c>
      <c r="D710" s="267">
        <v>290</v>
      </c>
      <c r="E710" s="392">
        <v>272.5</v>
      </c>
      <c r="Z710" s="322">
        <v>40647</v>
      </c>
      <c r="AA710" s="324">
        <v>333</v>
      </c>
      <c r="AB710" s="323">
        <v>261.5</v>
      </c>
    </row>
    <row r="711" spans="1:28">
      <c r="A711" s="264">
        <v>40626</v>
      </c>
      <c r="B711" s="264">
        <v>40626</v>
      </c>
      <c r="C711" s="267">
        <v>310</v>
      </c>
      <c r="D711" s="267">
        <v>285</v>
      </c>
      <c r="E711" s="392">
        <v>272.5</v>
      </c>
      <c r="Z711" s="322">
        <v>40654</v>
      </c>
      <c r="AA711" s="324">
        <v>342.5</v>
      </c>
      <c r="AB711" s="323">
        <v>265</v>
      </c>
    </row>
    <row r="712" spans="1:28">
      <c r="A712" s="264">
        <v>40633</v>
      </c>
      <c r="B712" s="264">
        <v>40633</v>
      </c>
      <c r="C712" s="267">
        <v>302.5</v>
      </c>
      <c r="D712" s="267">
        <v>280</v>
      </c>
      <c r="E712" s="392">
        <v>272.5</v>
      </c>
      <c r="Z712" s="322">
        <v>40661</v>
      </c>
      <c r="AA712" s="324">
        <v>347.5</v>
      </c>
      <c r="AB712" s="323">
        <v>277.5</v>
      </c>
    </row>
    <row r="713" spans="1:28">
      <c r="A713" s="264">
        <v>40640</v>
      </c>
      <c r="B713" s="264">
        <v>40640</v>
      </c>
      <c r="C713" s="267">
        <v>311</v>
      </c>
      <c r="D713" s="267">
        <v>280</v>
      </c>
      <c r="E713" s="392">
        <v>287.5</v>
      </c>
      <c r="Z713" s="322">
        <v>40668</v>
      </c>
      <c r="AA713" s="324">
        <v>365</v>
      </c>
      <c r="AB713" s="323">
        <v>285</v>
      </c>
    </row>
    <row r="714" spans="1:28">
      <c r="A714" s="264">
        <v>40647</v>
      </c>
      <c r="B714" s="264">
        <v>40647</v>
      </c>
      <c r="C714" s="267">
        <v>333</v>
      </c>
      <c r="D714" s="267">
        <v>270</v>
      </c>
      <c r="E714" s="392">
        <v>287.5</v>
      </c>
      <c r="Z714" s="322">
        <v>40675</v>
      </c>
      <c r="AA714" s="324">
        <v>370</v>
      </c>
      <c r="AB714" s="323">
        <v>295</v>
      </c>
    </row>
    <row r="715" spans="1:28">
      <c r="A715" s="264">
        <v>40654</v>
      </c>
      <c r="B715" s="264">
        <v>40654</v>
      </c>
      <c r="C715" s="267">
        <v>342.5</v>
      </c>
      <c r="D715" s="267">
        <v>261.5</v>
      </c>
      <c r="E715" s="392">
        <v>292.5</v>
      </c>
      <c r="Z715" s="322">
        <v>40682</v>
      </c>
      <c r="AA715" s="324">
        <v>404.5</v>
      </c>
      <c r="AB715" s="323">
        <v>320.5</v>
      </c>
    </row>
    <row r="716" spans="1:28">
      <c r="A716" s="264">
        <v>40661</v>
      </c>
      <c r="B716" s="264">
        <v>40661</v>
      </c>
      <c r="C716" s="267">
        <v>347.5</v>
      </c>
      <c r="D716" s="267">
        <v>265</v>
      </c>
      <c r="E716" s="392">
        <v>292.5</v>
      </c>
      <c r="Z716" s="322">
        <v>40689</v>
      </c>
      <c r="AA716" s="324">
        <v>412.5</v>
      </c>
      <c r="AB716" s="323">
        <v>330.5</v>
      </c>
    </row>
    <row r="717" spans="1:28">
      <c r="A717" s="264">
        <v>40668</v>
      </c>
      <c r="B717" s="264">
        <v>40668</v>
      </c>
      <c r="C717" s="267">
        <v>365</v>
      </c>
      <c r="D717" s="267">
        <v>277.5</v>
      </c>
      <c r="E717" s="392">
        <v>287.5</v>
      </c>
      <c r="Z717" s="322">
        <v>40696</v>
      </c>
      <c r="AA717" s="324">
        <v>426</v>
      </c>
      <c r="AB717" s="323">
        <v>342.5</v>
      </c>
    </row>
    <row r="718" spans="1:28">
      <c r="A718" s="264">
        <v>40675</v>
      </c>
      <c r="B718" s="264">
        <v>40675</v>
      </c>
      <c r="C718" s="267">
        <v>370</v>
      </c>
      <c r="D718" s="267">
        <v>285</v>
      </c>
      <c r="E718" s="392">
        <v>287.5</v>
      </c>
      <c r="Z718" s="322">
        <v>40703</v>
      </c>
      <c r="AA718" s="324">
        <v>461</v>
      </c>
      <c r="AB718" s="323">
        <v>360</v>
      </c>
    </row>
    <row r="719" spans="1:28">
      <c r="A719" s="264">
        <v>40682</v>
      </c>
      <c r="B719" s="264">
        <v>40682</v>
      </c>
      <c r="C719" s="267">
        <v>404.5</v>
      </c>
      <c r="D719" s="267">
        <v>295</v>
      </c>
      <c r="E719" s="392">
        <v>287.5</v>
      </c>
      <c r="Z719" s="322">
        <v>40710</v>
      </c>
      <c r="AA719" s="324">
        <v>485</v>
      </c>
      <c r="AB719" s="323">
        <v>365</v>
      </c>
    </row>
    <row r="720" spans="1:28">
      <c r="A720" s="264">
        <v>40689</v>
      </c>
      <c r="B720" s="264">
        <v>40689</v>
      </c>
      <c r="C720" s="267">
        <v>412.5</v>
      </c>
      <c r="D720" s="267">
        <v>320.5</v>
      </c>
      <c r="E720" s="392">
        <v>287.5</v>
      </c>
      <c r="Z720" s="322">
        <v>40717</v>
      </c>
      <c r="AA720" s="324">
        <v>507.5</v>
      </c>
      <c r="AB720" s="323">
        <v>377.5</v>
      </c>
    </row>
    <row r="721" spans="1:28">
      <c r="A721" s="264">
        <v>40696</v>
      </c>
      <c r="B721" s="264">
        <v>40696</v>
      </c>
      <c r="C721" s="267">
        <v>426</v>
      </c>
      <c r="D721" s="267">
        <v>330.5</v>
      </c>
      <c r="E721" s="392">
        <v>272.5</v>
      </c>
      <c r="Z721" s="322">
        <v>40724</v>
      </c>
      <c r="AA721" s="324">
        <v>495</v>
      </c>
      <c r="AB721" s="323">
        <v>345</v>
      </c>
    </row>
    <row r="722" spans="1:28">
      <c r="A722" s="264">
        <v>40703</v>
      </c>
      <c r="B722" s="264">
        <v>40703</v>
      </c>
      <c r="C722" s="267">
        <v>461</v>
      </c>
      <c r="D722" s="267">
        <v>342.5</v>
      </c>
      <c r="E722" s="392">
        <v>272.5</v>
      </c>
      <c r="Z722" s="322">
        <v>40731</v>
      </c>
      <c r="AA722" s="324">
        <v>465</v>
      </c>
      <c r="AB722" s="323">
        <v>300</v>
      </c>
    </row>
    <row r="723" spans="1:28">
      <c r="A723" s="264">
        <v>40710</v>
      </c>
      <c r="B723" s="264">
        <v>40710</v>
      </c>
      <c r="C723" s="267">
        <v>485</v>
      </c>
      <c r="D723" s="267">
        <v>360</v>
      </c>
      <c r="E723" s="392">
        <v>272.5</v>
      </c>
      <c r="Z723" s="322">
        <v>40738</v>
      </c>
      <c r="AA723" s="324">
        <v>445</v>
      </c>
      <c r="AB723" s="323">
        <v>315</v>
      </c>
    </row>
    <row r="724" spans="1:28">
      <c r="A724" s="264">
        <v>40717</v>
      </c>
      <c r="B724" s="264">
        <v>40717</v>
      </c>
      <c r="C724" s="267">
        <v>507.5</v>
      </c>
      <c r="D724" s="267">
        <v>365</v>
      </c>
      <c r="E724" s="392">
        <v>272.5</v>
      </c>
      <c r="Z724" s="322">
        <v>40745</v>
      </c>
      <c r="AA724" s="324">
        <v>465</v>
      </c>
      <c r="AB724" s="323">
        <v>324.5</v>
      </c>
    </row>
    <row r="725" spans="1:28">
      <c r="A725" s="264">
        <v>40724</v>
      </c>
      <c r="B725" s="264">
        <v>40724</v>
      </c>
      <c r="C725" s="267">
        <v>495</v>
      </c>
      <c r="D725" s="267">
        <v>377.5</v>
      </c>
      <c r="E725" s="392">
        <v>287.5</v>
      </c>
      <c r="Z725" s="322">
        <v>40752</v>
      </c>
      <c r="AA725" s="324">
        <v>465</v>
      </c>
      <c r="AB725" s="323">
        <v>330</v>
      </c>
    </row>
    <row r="726" spans="1:28">
      <c r="A726" s="264">
        <v>40731</v>
      </c>
      <c r="B726" s="264">
        <v>40731</v>
      </c>
      <c r="C726" s="267">
        <v>465</v>
      </c>
      <c r="D726" s="267">
        <v>345</v>
      </c>
      <c r="E726" s="392">
        <v>287.5</v>
      </c>
      <c r="Z726" s="322">
        <v>40759</v>
      </c>
      <c r="AA726" s="324">
        <v>475</v>
      </c>
      <c r="AB726" s="323">
        <v>320</v>
      </c>
    </row>
    <row r="727" spans="1:28">
      <c r="A727" s="264">
        <v>40738</v>
      </c>
      <c r="B727" s="264">
        <v>40738</v>
      </c>
      <c r="C727" s="267">
        <v>445</v>
      </c>
      <c r="D727" s="267">
        <v>300</v>
      </c>
      <c r="E727" s="392">
        <v>282.5</v>
      </c>
      <c r="Z727" s="322">
        <v>40766</v>
      </c>
      <c r="AA727" s="324">
        <v>465</v>
      </c>
      <c r="AB727" s="323">
        <v>292.5</v>
      </c>
    </row>
    <row r="728" spans="1:28">
      <c r="A728" s="264">
        <v>40745</v>
      </c>
      <c r="B728" s="264">
        <v>40745</v>
      </c>
      <c r="C728" s="267">
        <v>465</v>
      </c>
      <c r="D728" s="267">
        <v>315</v>
      </c>
      <c r="E728" s="392">
        <v>312.5</v>
      </c>
      <c r="Z728" s="322">
        <v>40773</v>
      </c>
      <c r="AA728" s="324">
        <v>469.5</v>
      </c>
      <c r="AB728" s="323">
        <v>305</v>
      </c>
    </row>
    <row r="729" spans="1:28">
      <c r="A729" s="264">
        <v>40752</v>
      </c>
      <c r="B729" s="264">
        <v>40752</v>
      </c>
      <c r="C729" s="267">
        <v>465</v>
      </c>
      <c r="D729" s="267">
        <v>324.5</v>
      </c>
      <c r="E729" s="392">
        <v>307.5</v>
      </c>
      <c r="Z729" s="322">
        <v>40780</v>
      </c>
      <c r="AA729" s="324">
        <v>475</v>
      </c>
      <c r="AB729" s="323">
        <v>317.5</v>
      </c>
    </row>
    <row r="730" spans="1:28">
      <c r="A730" s="264">
        <v>40759</v>
      </c>
      <c r="B730" s="264">
        <v>40759</v>
      </c>
      <c r="C730" s="267">
        <v>475</v>
      </c>
      <c r="D730" s="267">
        <v>330</v>
      </c>
      <c r="E730" s="392">
        <v>307.5</v>
      </c>
      <c r="Z730" s="322">
        <v>40787</v>
      </c>
      <c r="AA730" s="324">
        <v>486.5</v>
      </c>
      <c r="AB730" s="323">
        <v>315</v>
      </c>
    </row>
    <row r="731" spans="1:28">
      <c r="A731" s="264">
        <v>40766</v>
      </c>
      <c r="B731" s="264">
        <v>40766</v>
      </c>
      <c r="C731" s="267">
        <v>465</v>
      </c>
      <c r="D731" s="267">
        <v>320</v>
      </c>
      <c r="E731" s="392">
        <v>350</v>
      </c>
      <c r="Z731" s="322">
        <v>40794</v>
      </c>
      <c r="AA731" s="324">
        <v>492.5</v>
      </c>
      <c r="AB731" s="323">
        <v>327.5</v>
      </c>
    </row>
    <row r="732" spans="1:28">
      <c r="A732" s="264">
        <v>40773</v>
      </c>
      <c r="B732" s="264">
        <v>40773</v>
      </c>
      <c r="C732" s="267">
        <v>469.5</v>
      </c>
      <c r="D732" s="267">
        <v>292.5</v>
      </c>
      <c r="E732" s="392">
        <v>350</v>
      </c>
      <c r="Z732" s="322">
        <v>40801</v>
      </c>
      <c r="AA732" s="324">
        <v>502</v>
      </c>
      <c r="AB732" s="323">
        <v>330</v>
      </c>
    </row>
    <row r="733" spans="1:28">
      <c r="A733" s="264">
        <v>40780</v>
      </c>
      <c r="B733" s="264">
        <v>40780</v>
      </c>
      <c r="C733" s="267">
        <v>475</v>
      </c>
      <c r="D733" s="267">
        <v>305</v>
      </c>
      <c r="E733" s="392">
        <v>350</v>
      </c>
      <c r="Z733" s="322">
        <v>40808</v>
      </c>
      <c r="AA733" s="324">
        <v>502.5</v>
      </c>
      <c r="AB733" s="323">
        <v>335</v>
      </c>
    </row>
    <row r="734" spans="1:28">
      <c r="A734" s="264">
        <v>40787</v>
      </c>
      <c r="B734" s="264">
        <v>40787</v>
      </c>
      <c r="C734" s="267">
        <v>486.5</v>
      </c>
      <c r="D734" s="267">
        <v>317.5</v>
      </c>
      <c r="E734" s="392">
        <v>350</v>
      </c>
      <c r="Z734" s="322">
        <v>40815</v>
      </c>
      <c r="AA734" s="324">
        <v>500</v>
      </c>
      <c r="AB734" s="323">
        <v>330</v>
      </c>
    </row>
    <row r="735" spans="1:28">
      <c r="A735" s="264">
        <v>40794</v>
      </c>
      <c r="B735" s="264">
        <v>40794</v>
      </c>
      <c r="C735" s="267">
        <v>492.5</v>
      </c>
      <c r="D735" s="267">
        <v>315</v>
      </c>
      <c r="E735" s="392">
        <v>330</v>
      </c>
      <c r="Z735" s="322">
        <v>40822</v>
      </c>
      <c r="AA735" s="324">
        <v>470</v>
      </c>
      <c r="AB735" s="323">
        <v>327.5</v>
      </c>
    </row>
    <row r="736" spans="1:28">
      <c r="A736" s="264">
        <v>40801</v>
      </c>
      <c r="B736" s="264">
        <v>40801</v>
      </c>
      <c r="C736" s="267">
        <v>502</v>
      </c>
      <c r="D736" s="267">
        <v>327.5</v>
      </c>
      <c r="E736" s="392">
        <v>332.5</v>
      </c>
      <c r="Z736" s="322">
        <v>40829</v>
      </c>
      <c r="AA736" s="324">
        <v>472.5</v>
      </c>
      <c r="AB736" s="323">
        <v>325</v>
      </c>
    </row>
    <row r="737" spans="1:28">
      <c r="A737" s="264">
        <v>40808</v>
      </c>
      <c r="B737" s="264">
        <v>40808</v>
      </c>
      <c r="C737" s="267">
        <v>502.5</v>
      </c>
      <c r="D737" s="267">
        <v>330</v>
      </c>
      <c r="E737" s="392">
        <v>340</v>
      </c>
      <c r="Z737" s="322">
        <v>40836</v>
      </c>
      <c r="AA737" s="324">
        <v>481.5</v>
      </c>
      <c r="AB737" s="323">
        <v>323.5</v>
      </c>
    </row>
    <row r="738" spans="1:28">
      <c r="A738" s="264">
        <v>40815</v>
      </c>
      <c r="B738" s="264">
        <v>40815</v>
      </c>
      <c r="C738" s="267">
        <v>500</v>
      </c>
      <c r="D738" s="267">
        <v>335</v>
      </c>
      <c r="E738" s="392">
        <v>340</v>
      </c>
      <c r="Z738" s="322">
        <v>40843</v>
      </c>
      <c r="AA738" s="324">
        <v>484</v>
      </c>
      <c r="AB738" s="323">
        <v>320.5</v>
      </c>
    </row>
    <row r="739" spans="1:28">
      <c r="A739" s="264">
        <v>40822</v>
      </c>
      <c r="B739" s="264">
        <v>40822</v>
      </c>
      <c r="C739" s="267">
        <v>470</v>
      </c>
      <c r="D739" s="267">
        <v>330</v>
      </c>
      <c r="E739" s="392">
        <v>340</v>
      </c>
      <c r="Z739" s="322">
        <v>40850</v>
      </c>
      <c r="AA739" s="324">
        <v>476.5</v>
      </c>
      <c r="AB739" s="323">
        <v>316</v>
      </c>
    </row>
    <row r="740" spans="1:28">
      <c r="A740" s="264">
        <v>40829</v>
      </c>
      <c r="B740" s="264">
        <v>40829</v>
      </c>
      <c r="C740" s="267">
        <v>472.5</v>
      </c>
      <c r="D740" s="267">
        <v>327.5</v>
      </c>
      <c r="E740" s="392">
        <v>340</v>
      </c>
      <c r="Z740" s="322">
        <v>40857</v>
      </c>
      <c r="AA740" s="324">
        <v>468</v>
      </c>
      <c r="AB740" s="323">
        <v>315</v>
      </c>
    </row>
    <row r="741" spans="1:28">
      <c r="A741" s="264">
        <v>40836</v>
      </c>
      <c r="B741" s="264">
        <v>40836</v>
      </c>
      <c r="C741" s="267">
        <v>481.5</v>
      </c>
      <c r="D741" s="267">
        <v>325</v>
      </c>
      <c r="E741" s="392">
        <v>337</v>
      </c>
      <c r="Z741" s="322">
        <v>40864</v>
      </c>
      <c r="AA741" s="324">
        <v>462.5</v>
      </c>
      <c r="AB741" s="323">
        <v>315</v>
      </c>
    </row>
    <row r="742" spans="1:28">
      <c r="A742" s="264">
        <v>40843</v>
      </c>
      <c r="B742" s="264">
        <v>40843</v>
      </c>
      <c r="C742" s="267">
        <v>484</v>
      </c>
      <c r="D742" s="267">
        <v>323.5</v>
      </c>
      <c r="E742" s="392">
        <v>337</v>
      </c>
      <c r="Z742" s="322">
        <v>40871</v>
      </c>
      <c r="AA742" s="324">
        <v>460</v>
      </c>
      <c r="AB742" s="323">
        <v>300</v>
      </c>
    </row>
    <row r="743" spans="1:28">
      <c r="A743" s="264">
        <v>40850</v>
      </c>
      <c r="B743" s="264">
        <v>40850</v>
      </c>
      <c r="C743" s="267">
        <v>476.5</v>
      </c>
      <c r="D743" s="267">
        <v>320.5</v>
      </c>
      <c r="E743" s="392">
        <v>347</v>
      </c>
      <c r="Z743" s="322">
        <v>40878</v>
      </c>
      <c r="AA743" s="324">
        <v>400</v>
      </c>
      <c r="AB743" s="323">
        <v>275</v>
      </c>
    </row>
    <row r="744" spans="1:28">
      <c r="A744" s="264">
        <v>40857</v>
      </c>
      <c r="B744" s="264">
        <v>40857</v>
      </c>
      <c r="C744" s="267">
        <v>468</v>
      </c>
      <c r="D744" s="267">
        <v>316</v>
      </c>
      <c r="E744" s="392">
        <v>347</v>
      </c>
      <c r="Z744" s="322">
        <v>40885</v>
      </c>
      <c r="AA744" s="324">
        <v>365</v>
      </c>
      <c r="AB744" s="323">
        <v>257.5</v>
      </c>
    </row>
    <row r="745" spans="1:28">
      <c r="A745" s="264">
        <v>40864</v>
      </c>
      <c r="B745" s="264">
        <v>40864</v>
      </c>
      <c r="C745" s="267">
        <v>462.5</v>
      </c>
      <c r="D745" s="267">
        <v>315</v>
      </c>
      <c r="E745" s="392">
        <v>347</v>
      </c>
      <c r="Z745" s="322">
        <v>40892</v>
      </c>
      <c r="AA745" s="324">
        <v>333.5</v>
      </c>
      <c r="AB745" s="323">
        <v>255</v>
      </c>
    </row>
    <row r="746" spans="1:28">
      <c r="A746" s="264">
        <v>40871</v>
      </c>
      <c r="B746" s="264">
        <v>40871</v>
      </c>
      <c r="C746" s="267">
        <v>460</v>
      </c>
      <c r="D746" s="267">
        <v>315</v>
      </c>
      <c r="E746" s="392">
        <v>347</v>
      </c>
      <c r="Z746" s="322">
        <v>40899</v>
      </c>
      <c r="AA746" s="324">
        <v>307.5</v>
      </c>
      <c r="AB746" s="323">
        <v>255</v>
      </c>
    </row>
    <row r="747" spans="1:28">
      <c r="A747" s="264">
        <v>40878</v>
      </c>
      <c r="B747" s="264">
        <v>40878</v>
      </c>
      <c r="C747" s="267">
        <v>400</v>
      </c>
      <c r="D747" s="267">
        <v>300</v>
      </c>
      <c r="E747" s="392">
        <v>347</v>
      </c>
      <c r="Z747" s="322">
        <v>40906</v>
      </c>
      <c r="AA747" s="324">
        <v>315</v>
      </c>
      <c r="AB747" s="323">
        <v>275</v>
      </c>
    </row>
    <row r="748" spans="1:28">
      <c r="A748" s="264">
        <v>40885</v>
      </c>
      <c r="B748" s="264">
        <v>40885</v>
      </c>
      <c r="C748" s="267">
        <v>365</v>
      </c>
      <c r="D748" s="267">
        <v>275</v>
      </c>
      <c r="E748" s="392">
        <v>347</v>
      </c>
      <c r="Z748" s="322">
        <v>40913</v>
      </c>
      <c r="AA748" s="324">
        <v>330</v>
      </c>
      <c r="AB748" s="323">
        <v>295</v>
      </c>
    </row>
    <row r="749" spans="1:28">
      <c r="A749" s="264">
        <v>40892</v>
      </c>
      <c r="B749" s="264">
        <v>40892</v>
      </c>
      <c r="C749" s="267">
        <v>333.5</v>
      </c>
      <c r="D749" s="267">
        <v>257.5</v>
      </c>
      <c r="E749" s="392">
        <v>347</v>
      </c>
      <c r="Z749" s="322">
        <v>40920</v>
      </c>
      <c r="AA749" s="324">
        <v>367.5</v>
      </c>
      <c r="AB749" s="323">
        <v>302.5</v>
      </c>
    </row>
    <row r="750" spans="1:28">
      <c r="A750" s="264">
        <v>40899</v>
      </c>
      <c r="B750" s="264">
        <v>40899</v>
      </c>
      <c r="C750" s="267">
        <v>307.5</v>
      </c>
      <c r="D750" s="267">
        <v>255</v>
      </c>
      <c r="E750" s="392">
        <v>347</v>
      </c>
      <c r="Z750" s="322">
        <v>40927</v>
      </c>
      <c r="AA750" s="324">
        <v>362.5</v>
      </c>
      <c r="AB750" s="323">
        <v>295</v>
      </c>
    </row>
    <row r="751" spans="1:28">
      <c r="A751" s="264">
        <v>40906</v>
      </c>
      <c r="B751" s="264">
        <v>40906</v>
      </c>
      <c r="C751" s="267">
        <v>315</v>
      </c>
      <c r="D751" s="267">
        <v>255</v>
      </c>
      <c r="E751" s="392">
        <v>327.5</v>
      </c>
      <c r="Z751" s="322">
        <v>40934</v>
      </c>
      <c r="AA751" s="324">
        <v>360</v>
      </c>
      <c r="AB751" s="323">
        <v>302.5</v>
      </c>
    </row>
    <row r="752" spans="1:28">
      <c r="A752" s="264">
        <v>40913</v>
      </c>
      <c r="B752" s="264">
        <v>40913</v>
      </c>
      <c r="C752" s="267">
        <v>330</v>
      </c>
      <c r="D752" s="267">
        <v>275</v>
      </c>
      <c r="E752" s="392">
        <v>327.5</v>
      </c>
      <c r="Z752" s="322">
        <v>40941</v>
      </c>
      <c r="AA752" s="324">
        <v>364</v>
      </c>
      <c r="AB752" s="323">
        <v>305</v>
      </c>
    </row>
    <row r="753" spans="1:28">
      <c r="A753" s="264">
        <v>40920</v>
      </c>
      <c r="B753" s="264">
        <v>40920</v>
      </c>
      <c r="C753" s="267">
        <v>367.5</v>
      </c>
      <c r="D753" s="267">
        <v>295</v>
      </c>
      <c r="E753" s="392">
        <v>319</v>
      </c>
      <c r="Z753" s="322">
        <v>40948</v>
      </c>
      <c r="AA753" s="324">
        <v>360</v>
      </c>
      <c r="AB753" s="323">
        <v>295</v>
      </c>
    </row>
    <row r="754" spans="1:28">
      <c r="A754" s="264">
        <v>40927</v>
      </c>
      <c r="B754" s="264">
        <v>40927</v>
      </c>
      <c r="C754" s="267">
        <v>362.5</v>
      </c>
      <c r="D754" s="267">
        <v>302.5</v>
      </c>
      <c r="E754" s="392">
        <v>297.5</v>
      </c>
      <c r="Z754" s="322">
        <v>40955</v>
      </c>
      <c r="AA754" s="324">
        <v>370</v>
      </c>
      <c r="AB754" s="323">
        <v>295</v>
      </c>
    </row>
    <row r="755" spans="1:28">
      <c r="A755" s="264">
        <v>40934</v>
      </c>
      <c r="B755" s="264">
        <v>40934</v>
      </c>
      <c r="C755" s="267">
        <v>360</v>
      </c>
      <c r="D755" s="267">
        <v>295</v>
      </c>
      <c r="E755" s="392">
        <v>265</v>
      </c>
      <c r="Z755" s="322">
        <v>40962</v>
      </c>
      <c r="AA755" s="324">
        <v>377.5</v>
      </c>
      <c r="AB755" s="323">
        <v>295</v>
      </c>
    </row>
    <row r="756" spans="1:28">
      <c r="A756" s="264">
        <v>40941</v>
      </c>
      <c r="B756" s="264">
        <v>40941</v>
      </c>
      <c r="C756" s="267">
        <v>364</v>
      </c>
      <c r="D756" s="267">
        <v>302.5</v>
      </c>
      <c r="E756" s="392">
        <v>265</v>
      </c>
      <c r="Z756" s="322">
        <v>40969</v>
      </c>
      <c r="AA756" s="324">
        <v>387.5</v>
      </c>
      <c r="AB756" s="323">
        <v>295</v>
      </c>
    </row>
    <row r="757" spans="1:28">
      <c r="A757" s="264">
        <v>40948</v>
      </c>
      <c r="B757" s="264">
        <v>40948</v>
      </c>
      <c r="C757" s="267">
        <v>360</v>
      </c>
      <c r="D757" s="267">
        <v>305</v>
      </c>
      <c r="E757" s="392">
        <v>252.5</v>
      </c>
      <c r="Z757" s="322">
        <v>40976</v>
      </c>
      <c r="AA757" s="324">
        <v>390</v>
      </c>
      <c r="AB757" s="323">
        <v>302.5</v>
      </c>
    </row>
    <row r="758" spans="1:28">
      <c r="A758" s="264">
        <v>40955</v>
      </c>
      <c r="B758" s="264">
        <v>40955</v>
      </c>
      <c r="C758" s="267">
        <v>370</v>
      </c>
      <c r="D758" s="267">
        <v>295</v>
      </c>
      <c r="E758" s="392">
        <v>252.5</v>
      </c>
      <c r="Z758" s="322">
        <v>40983</v>
      </c>
      <c r="AA758" s="324">
        <v>392.5</v>
      </c>
      <c r="AB758" s="323">
        <v>307.5</v>
      </c>
    </row>
    <row r="759" spans="1:28">
      <c r="A759" s="264">
        <v>40962</v>
      </c>
      <c r="B759" s="264">
        <v>40962</v>
      </c>
      <c r="C759" s="267">
        <v>377.5</v>
      </c>
      <c r="D759" s="267">
        <v>295</v>
      </c>
      <c r="E759" s="392">
        <v>262.5</v>
      </c>
      <c r="Z759" s="322">
        <v>40990</v>
      </c>
      <c r="AA759" s="324">
        <v>425</v>
      </c>
      <c r="AB759" s="323">
        <v>310</v>
      </c>
    </row>
    <row r="760" spans="1:28">
      <c r="A760" s="264">
        <v>40969</v>
      </c>
      <c r="B760" s="264">
        <v>40969</v>
      </c>
      <c r="C760" s="267">
        <v>387.5</v>
      </c>
      <c r="D760" s="267">
        <v>295</v>
      </c>
      <c r="E760" s="392">
        <v>262.5</v>
      </c>
      <c r="Z760" s="322">
        <v>40997</v>
      </c>
      <c r="AA760" s="324">
        <v>442.5</v>
      </c>
      <c r="AB760" s="323">
        <v>325</v>
      </c>
    </row>
    <row r="761" spans="1:28">
      <c r="A761" s="264">
        <v>40976</v>
      </c>
      <c r="B761" s="264">
        <v>40976</v>
      </c>
      <c r="C761" s="267">
        <v>390</v>
      </c>
      <c r="D761" s="267">
        <v>295</v>
      </c>
      <c r="E761" s="392">
        <v>257.5</v>
      </c>
      <c r="Z761" s="322">
        <v>41004</v>
      </c>
      <c r="AA761" s="324">
        <v>450</v>
      </c>
      <c r="AB761" s="323">
        <v>329</v>
      </c>
    </row>
    <row r="762" spans="1:28">
      <c r="A762" s="264">
        <v>40983</v>
      </c>
      <c r="B762" s="264">
        <v>40983</v>
      </c>
      <c r="C762" s="267">
        <v>392.5</v>
      </c>
      <c r="D762" s="267">
        <v>302.5</v>
      </c>
      <c r="E762" s="392">
        <v>257.5</v>
      </c>
      <c r="Z762" s="322">
        <v>41011</v>
      </c>
      <c r="AA762" s="324">
        <v>493.5</v>
      </c>
      <c r="AB762" s="323">
        <v>336.5</v>
      </c>
    </row>
    <row r="763" spans="1:28">
      <c r="A763" s="264">
        <v>40990</v>
      </c>
      <c r="B763" s="264">
        <v>40990</v>
      </c>
      <c r="C763" s="267">
        <v>425</v>
      </c>
      <c r="D763" s="267">
        <v>307.5</v>
      </c>
      <c r="E763" s="392">
        <v>250</v>
      </c>
      <c r="Z763" s="322">
        <v>41018</v>
      </c>
      <c r="AA763" s="324">
        <v>508.5</v>
      </c>
      <c r="AB763" s="323">
        <v>345</v>
      </c>
    </row>
    <row r="764" spans="1:28">
      <c r="A764" s="264">
        <v>40997</v>
      </c>
      <c r="B764" s="264">
        <v>40997</v>
      </c>
      <c r="C764" s="267">
        <v>442.5</v>
      </c>
      <c r="D764" s="267">
        <v>310</v>
      </c>
      <c r="E764" s="392">
        <v>240</v>
      </c>
      <c r="Z764" s="322">
        <v>41025</v>
      </c>
      <c r="AA764" s="324">
        <v>508.5</v>
      </c>
      <c r="AB764" s="323">
        <v>350</v>
      </c>
    </row>
    <row r="765" spans="1:28">
      <c r="A765" s="264">
        <v>41004</v>
      </c>
      <c r="B765" s="264">
        <v>41004</v>
      </c>
      <c r="C765" s="267">
        <v>450</v>
      </c>
      <c r="D765" s="267">
        <v>325</v>
      </c>
      <c r="E765" s="392">
        <v>242.5</v>
      </c>
      <c r="Z765" s="322">
        <v>41032</v>
      </c>
      <c r="AA765" s="324">
        <v>516</v>
      </c>
      <c r="AB765" s="323">
        <v>357.5</v>
      </c>
    </row>
    <row r="766" spans="1:28">
      <c r="A766" s="264">
        <v>41011</v>
      </c>
      <c r="B766" s="264">
        <v>41011</v>
      </c>
      <c r="C766" s="267">
        <v>493.5</v>
      </c>
      <c r="D766" s="267">
        <v>329</v>
      </c>
      <c r="E766" s="392">
        <v>255</v>
      </c>
      <c r="Z766" s="322">
        <v>41039</v>
      </c>
      <c r="AA766" s="324">
        <v>527.5</v>
      </c>
      <c r="AB766" s="323">
        <v>345</v>
      </c>
    </row>
    <row r="767" spans="1:28">
      <c r="A767" s="264">
        <v>41018</v>
      </c>
      <c r="B767" s="264">
        <v>41018</v>
      </c>
      <c r="C767" s="267">
        <v>508.5</v>
      </c>
      <c r="D767" s="267">
        <v>336.5</v>
      </c>
      <c r="E767" s="392">
        <v>265</v>
      </c>
      <c r="Z767" s="322">
        <v>41046</v>
      </c>
      <c r="AA767" s="324">
        <v>485</v>
      </c>
      <c r="AB767" s="323">
        <v>335</v>
      </c>
    </row>
    <row r="768" spans="1:28">
      <c r="A768" s="264">
        <v>41025</v>
      </c>
      <c r="B768" s="264">
        <v>41025</v>
      </c>
      <c r="C768" s="267">
        <v>508.5</v>
      </c>
      <c r="D768" s="267">
        <v>345</v>
      </c>
      <c r="E768" s="392">
        <v>282.5</v>
      </c>
      <c r="Z768" s="322">
        <v>41053</v>
      </c>
      <c r="AA768" s="324">
        <v>475</v>
      </c>
      <c r="AB768" s="323">
        <v>330</v>
      </c>
    </row>
    <row r="769" spans="1:28">
      <c r="A769" s="264">
        <v>41032</v>
      </c>
      <c r="B769" s="264">
        <v>41032</v>
      </c>
      <c r="C769" s="267">
        <v>516</v>
      </c>
      <c r="D769" s="267">
        <v>350</v>
      </c>
      <c r="E769" s="393">
        <v>312.5</v>
      </c>
      <c r="Z769" s="322">
        <v>41060</v>
      </c>
      <c r="AA769" s="324">
        <v>455</v>
      </c>
      <c r="AB769" s="323">
        <v>315</v>
      </c>
    </row>
    <row r="770" spans="1:28">
      <c r="A770" s="264">
        <v>41039</v>
      </c>
      <c r="B770" s="264">
        <v>41039</v>
      </c>
      <c r="C770" s="267">
        <v>527.5</v>
      </c>
      <c r="D770" s="267">
        <v>357.5</v>
      </c>
      <c r="E770" s="393">
        <v>307.5</v>
      </c>
      <c r="Z770" s="322">
        <v>41067</v>
      </c>
      <c r="AA770" s="324">
        <v>442.5</v>
      </c>
      <c r="AB770" s="323">
        <v>292.5</v>
      </c>
    </row>
    <row r="771" spans="1:28">
      <c r="A771" s="264">
        <v>41046</v>
      </c>
      <c r="B771" s="264">
        <v>41046</v>
      </c>
      <c r="C771" s="267">
        <v>485</v>
      </c>
      <c r="D771" s="267">
        <v>345</v>
      </c>
      <c r="E771" s="392">
        <v>307.5</v>
      </c>
      <c r="Z771" s="322">
        <v>41074</v>
      </c>
      <c r="AA771" s="324">
        <v>435</v>
      </c>
      <c r="AB771" s="323">
        <v>267.5</v>
      </c>
    </row>
    <row r="772" spans="1:28">
      <c r="A772" s="264">
        <v>41053</v>
      </c>
      <c r="B772" s="264">
        <v>41053</v>
      </c>
      <c r="C772" s="267">
        <v>475</v>
      </c>
      <c r="D772" s="267">
        <v>335</v>
      </c>
      <c r="E772" s="392">
        <v>347.5</v>
      </c>
      <c r="Z772" s="322">
        <v>41081</v>
      </c>
      <c r="AA772" s="324">
        <v>400</v>
      </c>
      <c r="AB772" s="323">
        <v>252</v>
      </c>
    </row>
    <row r="773" spans="1:28">
      <c r="A773" s="264">
        <v>41060</v>
      </c>
      <c r="B773" s="264">
        <v>41060</v>
      </c>
      <c r="C773" s="267">
        <v>455</v>
      </c>
      <c r="D773" s="267">
        <v>330</v>
      </c>
      <c r="E773" s="392">
        <v>342.5</v>
      </c>
      <c r="Z773" s="322">
        <v>41088</v>
      </c>
      <c r="AA773" s="324">
        <v>367.5</v>
      </c>
      <c r="AB773" s="323">
        <v>250</v>
      </c>
    </row>
    <row r="774" spans="1:28">
      <c r="A774" s="264">
        <v>41067</v>
      </c>
      <c r="B774" s="264">
        <v>41067</v>
      </c>
      <c r="C774" s="267">
        <v>442.5</v>
      </c>
      <c r="D774" s="267">
        <v>315</v>
      </c>
      <c r="E774" s="392">
        <v>342.5</v>
      </c>
      <c r="Z774" s="322">
        <v>41095</v>
      </c>
      <c r="AA774" s="324">
        <v>357.5</v>
      </c>
      <c r="AB774" s="323">
        <v>275</v>
      </c>
    </row>
    <row r="775" spans="1:28">
      <c r="A775" s="264">
        <v>41074</v>
      </c>
      <c r="B775" s="264">
        <v>41074</v>
      </c>
      <c r="C775" s="267">
        <v>435</v>
      </c>
      <c r="D775" s="267">
        <v>292.5</v>
      </c>
      <c r="E775" s="392">
        <v>342.5</v>
      </c>
      <c r="Z775" s="322">
        <v>41102</v>
      </c>
      <c r="AA775" s="324">
        <v>402.5</v>
      </c>
      <c r="AB775" s="323">
        <v>272.5</v>
      </c>
    </row>
    <row r="776" spans="1:28">
      <c r="A776" s="264">
        <v>41081</v>
      </c>
      <c r="B776" s="264">
        <v>41081</v>
      </c>
      <c r="C776" s="267">
        <v>400</v>
      </c>
      <c r="D776" s="267">
        <v>267.5</v>
      </c>
      <c r="E776" s="392">
        <v>282.5</v>
      </c>
      <c r="Z776" s="322">
        <v>41109</v>
      </c>
      <c r="AA776" s="324">
        <v>380</v>
      </c>
      <c r="AB776" s="323">
        <v>262.5</v>
      </c>
    </row>
    <row r="777" spans="1:28">
      <c r="A777" s="264">
        <v>41088</v>
      </c>
      <c r="B777" s="264">
        <v>41088</v>
      </c>
      <c r="C777" s="267">
        <v>367.5</v>
      </c>
      <c r="D777" s="267">
        <v>252</v>
      </c>
      <c r="E777" s="392">
        <v>288.5</v>
      </c>
      <c r="Z777" s="322">
        <v>41116</v>
      </c>
      <c r="AA777" s="324">
        <v>380</v>
      </c>
      <c r="AB777" s="323">
        <v>262.5</v>
      </c>
    </row>
    <row r="778" spans="1:28">
      <c r="A778" s="264">
        <v>41095</v>
      </c>
      <c r="B778" s="264">
        <v>41095</v>
      </c>
      <c r="C778" s="267">
        <v>357.5</v>
      </c>
      <c r="D778" s="267">
        <v>250</v>
      </c>
      <c r="E778" s="392">
        <v>272.5</v>
      </c>
      <c r="Z778" s="322">
        <v>41123</v>
      </c>
      <c r="AA778" s="324">
        <v>381.5</v>
      </c>
      <c r="AB778" s="323">
        <v>265.5</v>
      </c>
    </row>
    <row r="779" spans="1:28">
      <c r="A779" s="264">
        <v>41102</v>
      </c>
      <c r="B779" s="264">
        <v>41102</v>
      </c>
      <c r="C779" s="267">
        <v>402.5</v>
      </c>
      <c r="D779" s="267">
        <v>275</v>
      </c>
      <c r="E779" s="392">
        <v>272.5</v>
      </c>
      <c r="Z779" s="322">
        <v>41130</v>
      </c>
      <c r="AA779" s="324">
        <v>370</v>
      </c>
      <c r="AB779" s="323">
        <v>262.5</v>
      </c>
    </row>
    <row r="780" spans="1:28">
      <c r="A780" s="264">
        <v>41109</v>
      </c>
      <c r="B780" s="264">
        <v>41109</v>
      </c>
      <c r="C780" s="267">
        <v>380</v>
      </c>
      <c r="D780" s="267">
        <v>272.5</v>
      </c>
      <c r="E780" s="392">
        <v>267.5</v>
      </c>
      <c r="Z780" s="322">
        <v>41137</v>
      </c>
      <c r="AA780" s="324">
        <v>365</v>
      </c>
      <c r="AB780" s="323">
        <v>260.5</v>
      </c>
    </row>
    <row r="781" spans="1:28">
      <c r="A781" s="264">
        <v>41116</v>
      </c>
      <c r="B781" s="264">
        <v>41116</v>
      </c>
      <c r="C781" s="267">
        <v>380</v>
      </c>
      <c r="D781" s="267">
        <v>262.5</v>
      </c>
      <c r="E781" s="392">
        <v>250</v>
      </c>
      <c r="Z781" s="322">
        <v>41144</v>
      </c>
      <c r="AA781" s="324">
        <v>367.5</v>
      </c>
      <c r="AB781" s="323">
        <v>264</v>
      </c>
    </row>
    <row r="782" spans="1:28">
      <c r="A782" s="264">
        <v>41123</v>
      </c>
      <c r="B782" s="264">
        <v>41123</v>
      </c>
      <c r="C782" s="267">
        <v>381.5</v>
      </c>
      <c r="D782" s="267">
        <v>262.5</v>
      </c>
      <c r="E782" s="392">
        <v>250</v>
      </c>
      <c r="Z782" s="322">
        <v>41151</v>
      </c>
      <c r="AA782" s="324">
        <v>375</v>
      </c>
      <c r="AB782" s="323">
        <v>264</v>
      </c>
    </row>
    <row r="783" spans="1:28">
      <c r="A783" s="264">
        <v>41130</v>
      </c>
      <c r="B783" s="264">
        <v>41130</v>
      </c>
      <c r="C783" s="267">
        <v>370</v>
      </c>
      <c r="D783" s="267">
        <v>265.5</v>
      </c>
      <c r="E783" s="392">
        <v>272.5</v>
      </c>
      <c r="Z783" s="322">
        <v>41158</v>
      </c>
      <c r="AA783" s="324">
        <v>372.5</v>
      </c>
      <c r="AB783" s="323">
        <v>265</v>
      </c>
    </row>
    <row r="784" spans="1:28">
      <c r="A784" s="264">
        <v>41137</v>
      </c>
      <c r="B784" s="264">
        <v>41137</v>
      </c>
      <c r="C784" s="267">
        <v>365</v>
      </c>
      <c r="D784" s="267">
        <v>262.5</v>
      </c>
      <c r="E784" s="392">
        <v>272.5</v>
      </c>
      <c r="Z784" s="322">
        <v>41165</v>
      </c>
      <c r="AA784" s="324">
        <v>378.5</v>
      </c>
      <c r="AB784" s="323">
        <v>280</v>
      </c>
    </row>
    <row r="785" spans="1:28">
      <c r="A785" s="264">
        <v>41144</v>
      </c>
      <c r="B785" s="264">
        <v>41144</v>
      </c>
      <c r="C785" s="267">
        <v>367.5</v>
      </c>
      <c r="D785" s="267">
        <v>260.5</v>
      </c>
      <c r="E785" s="392">
        <v>277.5</v>
      </c>
      <c r="Z785" s="322">
        <v>41172</v>
      </c>
      <c r="AA785" s="324">
        <v>385</v>
      </c>
      <c r="AB785" s="323">
        <v>310</v>
      </c>
    </row>
    <row r="786" spans="1:28">
      <c r="A786" s="264">
        <v>41151</v>
      </c>
      <c r="B786" s="264">
        <v>41151</v>
      </c>
      <c r="C786" s="267">
        <v>375</v>
      </c>
      <c r="D786" s="267">
        <v>264</v>
      </c>
      <c r="E786" s="392">
        <v>292.5</v>
      </c>
      <c r="Z786" s="322">
        <v>41179</v>
      </c>
      <c r="AA786" s="324">
        <v>385</v>
      </c>
      <c r="AB786" s="323">
        <v>310</v>
      </c>
    </row>
    <row r="787" spans="1:28">
      <c r="A787" s="264">
        <v>41158</v>
      </c>
      <c r="B787" s="264">
        <v>41158</v>
      </c>
      <c r="C787" s="267">
        <v>372.5</v>
      </c>
      <c r="D787" s="267">
        <v>264</v>
      </c>
      <c r="E787" s="392">
        <v>307.5</v>
      </c>
      <c r="Z787" s="322">
        <v>41186</v>
      </c>
      <c r="AA787" s="324">
        <v>390</v>
      </c>
      <c r="AB787" s="323">
        <v>310</v>
      </c>
    </row>
    <row r="788" spans="1:28">
      <c r="A788" s="264">
        <v>41165</v>
      </c>
      <c r="B788" s="264">
        <v>41165</v>
      </c>
      <c r="C788" s="267">
        <v>378.5</v>
      </c>
      <c r="D788" s="267">
        <v>265</v>
      </c>
      <c r="E788" s="392">
        <v>307.5</v>
      </c>
      <c r="Z788" s="322">
        <v>41193</v>
      </c>
      <c r="AA788" s="324">
        <v>402.5</v>
      </c>
      <c r="AB788" s="323">
        <v>305</v>
      </c>
    </row>
    <row r="789" spans="1:28">
      <c r="A789" s="264">
        <v>41172</v>
      </c>
      <c r="B789" s="264">
        <v>41172</v>
      </c>
      <c r="C789" s="267">
        <v>385</v>
      </c>
      <c r="D789" s="267">
        <v>280</v>
      </c>
      <c r="E789" s="392">
        <v>307.5</v>
      </c>
      <c r="Z789" s="322">
        <v>41200</v>
      </c>
      <c r="AA789" s="324">
        <v>400</v>
      </c>
      <c r="AB789" s="323">
        <v>315</v>
      </c>
    </row>
    <row r="790" spans="1:28">
      <c r="A790" s="264">
        <v>41179</v>
      </c>
      <c r="B790" s="264">
        <v>41179</v>
      </c>
      <c r="C790" s="267">
        <v>385</v>
      </c>
      <c r="D790" s="267">
        <v>310</v>
      </c>
      <c r="E790" s="392">
        <v>307.5</v>
      </c>
      <c r="Z790" s="322">
        <v>41207</v>
      </c>
      <c r="AA790" s="324">
        <v>383.5</v>
      </c>
      <c r="AB790" s="323">
        <v>305</v>
      </c>
    </row>
    <row r="791" spans="1:28">
      <c r="A791" s="264">
        <v>41186</v>
      </c>
      <c r="B791" s="264">
        <v>41186</v>
      </c>
      <c r="C791" s="267">
        <v>390</v>
      </c>
      <c r="D791" s="267">
        <v>310</v>
      </c>
      <c r="E791" s="392">
        <v>307.5</v>
      </c>
      <c r="Z791" s="322">
        <v>41214</v>
      </c>
      <c r="AA791" s="324">
        <v>377.5</v>
      </c>
      <c r="AB791" s="323">
        <v>290</v>
      </c>
    </row>
    <row r="792" spans="1:28">
      <c r="A792" s="264">
        <v>41193</v>
      </c>
      <c r="B792" s="264">
        <v>41193</v>
      </c>
      <c r="C792" s="267">
        <v>402.5</v>
      </c>
      <c r="D792" s="267">
        <v>310</v>
      </c>
      <c r="E792" s="392">
        <v>295.5</v>
      </c>
      <c r="Z792" s="322">
        <v>41221</v>
      </c>
      <c r="AA792" s="324">
        <v>365</v>
      </c>
      <c r="AB792" s="323">
        <v>285</v>
      </c>
    </row>
    <row r="793" spans="1:28">
      <c r="A793" s="264">
        <v>41200</v>
      </c>
      <c r="B793" s="264">
        <v>41200</v>
      </c>
      <c r="C793" s="267">
        <v>400</v>
      </c>
      <c r="D793" s="267">
        <v>305</v>
      </c>
      <c r="E793" s="392">
        <v>282.5</v>
      </c>
      <c r="Z793" s="322">
        <v>41228</v>
      </c>
      <c r="AA793" s="324">
        <v>359</v>
      </c>
      <c r="AB793" s="323">
        <v>285</v>
      </c>
    </row>
    <row r="794" spans="1:28">
      <c r="A794" s="264">
        <v>41207</v>
      </c>
      <c r="B794" s="264">
        <v>41207</v>
      </c>
      <c r="C794" s="267">
        <v>383.5</v>
      </c>
      <c r="D794" s="267">
        <v>315</v>
      </c>
      <c r="E794" s="392">
        <v>282.5</v>
      </c>
      <c r="Z794" s="322">
        <v>41235</v>
      </c>
      <c r="AA794" s="324">
        <v>367</v>
      </c>
      <c r="AB794" s="323">
        <v>297</v>
      </c>
    </row>
    <row r="795" spans="1:28">
      <c r="A795" s="264">
        <v>41214</v>
      </c>
      <c r="B795" s="264">
        <v>41214</v>
      </c>
      <c r="C795" s="267">
        <v>377.5</v>
      </c>
      <c r="D795" s="267">
        <v>305</v>
      </c>
      <c r="E795" s="392">
        <v>292.5</v>
      </c>
      <c r="Z795" s="322">
        <v>41242</v>
      </c>
      <c r="AA795" s="324">
        <v>365</v>
      </c>
      <c r="AB795" s="323">
        <v>300</v>
      </c>
    </row>
    <row r="796" spans="1:28">
      <c r="A796" s="264">
        <v>41221</v>
      </c>
      <c r="B796" s="264">
        <v>41221</v>
      </c>
      <c r="C796" s="267">
        <v>365</v>
      </c>
      <c r="D796" s="267">
        <v>290</v>
      </c>
      <c r="E796" s="392">
        <v>292.5</v>
      </c>
      <c r="Z796" s="322">
        <v>41249</v>
      </c>
      <c r="AA796" s="324">
        <v>369</v>
      </c>
      <c r="AB796" s="323">
        <v>307.5</v>
      </c>
    </row>
    <row r="797" spans="1:28">
      <c r="A797" s="264">
        <v>41228</v>
      </c>
      <c r="B797" s="264">
        <v>41228</v>
      </c>
      <c r="C797" s="267">
        <v>359</v>
      </c>
      <c r="D797" s="267">
        <v>285</v>
      </c>
      <c r="E797" s="392">
        <v>297.5</v>
      </c>
      <c r="Z797" s="322">
        <v>41256</v>
      </c>
      <c r="AA797" s="324">
        <v>367.5</v>
      </c>
      <c r="AB797" s="323">
        <v>307.5</v>
      </c>
    </row>
    <row r="798" spans="1:28">
      <c r="A798" s="264">
        <v>41235</v>
      </c>
      <c r="B798" s="264">
        <v>41235</v>
      </c>
      <c r="C798" s="267">
        <v>367</v>
      </c>
      <c r="D798" s="267">
        <v>285</v>
      </c>
      <c r="E798" s="392">
        <v>297.5</v>
      </c>
      <c r="Z798" s="322">
        <v>41263</v>
      </c>
      <c r="AA798" s="324">
        <v>366.5</v>
      </c>
      <c r="AB798" s="323">
        <v>307.5</v>
      </c>
    </row>
    <row r="799" spans="1:28">
      <c r="A799" s="264">
        <v>41242</v>
      </c>
      <c r="B799" s="264">
        <v>41242</v>
      </c>
      <c r="C799" s="267">
        <v>365</v>
      </c>
      <c r="D799" s="267">
        <v>297</v>
      </c>
      <c r="E799" s="392">
        <v>297.5</v>
      </c>
      <c r="Z799" s="322">
        <v>41270</v>
      </c>
      <c r="AA799" s="324">
        <v>365</v>
      </c>
      <c r="AB799" s="323">
        <v>307</v>
      </c>
    </row>
    <row r="800" spans="1:28">
      <c r="A800" s="264">
        <v>41249</v>
      </c>
      <c r="B800" s="264">
        <v>41249</v>
      </c>
      <c r="C800" s="267">
        <v>369</v>
      </c>
      <c r="D800" s="267">
        <v>300</v>
      </c>
      <c r="E800" s="392">
        <v>297.5</v>
      </c>
      <c r="Z800" s="322">
        <v>41277</v>
      </c>
      <c r="AA800" s="324">
        <v>367</v>
      </c>
      <c r="AB800" s="323">
        <v>310</v>
      </c>
    </row>
    <row r="801" spans="1:28">
      <c r="A801" s="264">
        <v>41256</v>
      </c>
      <c r="B801" s="264">
        <v>41256</v>
      </c>
      <c r="C801" s="267">
        <v>367.5</v>
      </c>
      <c r="D801" s="267">
        <v>307.5</v>
      </c>
      <c r="E801" s="392">
        <v>292.5</v>
      </c>
      <c r="Z801" s="322">
        <v>41284</v>
      </c>
      <c r="AA801" s="324">
        <v>370</v>
      </c>
      <c r="AB801" s="323">
        <v>311</v>
      </c>
    </row>
    <row r="802" spans="1:28">
      <c r="A802" s="264">
        <v>41263</v>
      </c>
      <c r="B802" s="264">
        <v>41263</v>
      </c>
      <c r="C802" s="267">
        <v>366.5</v>
      </c>
      <c r="D802" s="267">
        <v>307.5</v>
      </c>
      <c r="E802" s="392">
        <v>292.5</v>
      </c>
      <c r="Z802" s="322">
        <v>41291</v>
      </c>
      <c r="AA802" s="324">
        <v>378</v>
      </c>
      <c r="AB802" s="323">
        <v>314</v>
      </c>
    </row>
    <row r="803" spans="1:28">
      <c r="A803" s="264">
        <v>41270</v>
      </c>
      <c r="B803" s="264">
        <v>41270</v>
      </c>
      <c r="C803" s="267">
        <v>365</v>
      </c>
      <c r="D803" s="267">
        <v>307.5</v>
      </c>
      <c r="E803" s="392">
        <v>290</v>
      </c>
      <c r="Z803" s="322">
        <v>41298</v>
      </c>
      <c r="AA803" s="324">
        <v>385</v>
      </c>
      <c r="AB803" s="323">
        <v>320.5</v>
      </c>
    </row>
    <row r="804" spans="1:28">
      <c r="A804" s="264">
        <v>41277</v>
      </c>
      <c r="B804" s="264">
        <v>41277</v>
      </c>
      <c r="C804" s="267">
        <v>367</v>
      </c>
      <c r="D804" s="267">
        <v>307</v>
      </c>
      <c r="E804" s="392">
        <v>282.5</v>
      </c>
      <c r="Z804" s="322">
        <v>41305</v>
      </c>
      <c r="AA804" s="324">
        <v>400</v>
      </c>
      <c r="AB804" s="323">
        <v>342.5</v>
      </c>
    </row>
    <row r="805" spans="1:28">
      <c r="A805" s="264">
        <v>41284</v>
      </c>
      <c r="B805" s="264">
        <v>41284</v>
      </c>
      <c r="C805" s="267">
        <v>370</v>
      </c>
      <c r="D805" s="267">
        <v>310</v>
      </c>
      <c r="E805" s="392">
        <v>295</v>
      </c>
      <c r="Z805" s="322">
        <v>41312</v>
      </c>
      <c r="AA805" s="324">
        <v>412.5</v>
      </c>
      <c r="AB805" s="323">
        <v>357.5</v>
      </c>
    </row>
    <row r="806" spans="1:28">
      <c r="A806" s="264">
        <v>41291</v>
      </c>
      <c r="B806" s="264">
        <v>41291</v>
      </c>
      <c r="C806" s="267">
        <v>378</v>
      </c>
      <c r="D806" s="267">
        <v>311</v>
      </c>
      <c r="E806" s="392">
        <v>300</v>
      </c>
      <c r="Z806" s="322">
        <v>41319</v>
      </c>
      <c r="AA806" s="324">
        <v>415</v>
      </c>
      <c r="AB806" s="323">
        <v>357.5</v>
      </c>
    </row>
    <row r="807" spans="1:28">
      <c r="A807" s="264">
        <v>41298</v>
      </c>
      <c r="B807" s="264">
        <v>41298</v>
      </c>
      <c r="C807" s="267">
        <v>385</v>
      </c>
      <c r="D807" s="267">
        <v>314</v>
      </c>
      <c r="E807" s="392">
        <v>310</v>
      </c>
      <c r="Z807" s="322">
        <v>41326</v>
      </c>
      <c r="AA807" s="324">
        <v>387.5</v>
      </c>
      <c r="AB807" s="323">
        <v>355</v>
      </c>
    </row>
    <row r="808" spans="1:28">
      <c r="A808" s="264">
        <v>41305</v>
      </c>
      <c r="B808" s="264">
        <v>41305</v>
      </c>
      <c r="C808" s="267">
        <v>400</v>
      </c>
      <c r="D808" s="267">
        <v>320.5</v>
      </c>
      <c r="E808" s="392">
        <v>312.5</v>
      </c>
      <c r="Z808" s="322">
        <v>41333</v>
      </c>
      <c r="AA808" s="324">
        <v>380</v>
      </c>
      <c r="AB808" s="323">
        <v>350</v>
      </c>
    </row>
    <row r="809" spans="1:28">
      <c r="A809" s="264">
        <v>41312</v>
      </c>
      <c r="B809" s="264">
        <v>41312</v>
      </c>
      <c r="C809" s="267">
        <v>412.5</v>
      </c>
      <c r="D809" s="267">
        <v>342.5</v>
      </c>
      <c r="E809" s="392">
        <v>277.5</v>
      </c>
      <c r="Z809" s="322">
        <v>41340</v>
      </c>
      <c r="AA809" s="324">
        <v>380</v>
      </c>
      <c r="AB809" s="323">
        <v>345</v>
      </c>
    </row>
    <row r="810" spans="1:28">
      <c r="A810" s="264">
        <v>41319</v>
      </c>
      <c r="B810" s="264">
        <v>41319</v>
      </c>
      <c r="C810" s="267">
        <v>415</v>
      </c>
      <c r="D810" s="267">
        <v>357.5</v>
      </c>
      <c r="E810" s="392">
        <v>277.5</v>
      </c>
      <c r="Z810" s="322">
        <v>41347</v>
      </c>
      <c r="AA810" s="324">
        <v>377.5</v>
      </c>
      <c r="AB810" s="323">
        <v>342.5</v>
      </c>
    </row>
    <row r="811" spans="1:28">
      <c r="A811" s="264">
        <v>41326</v>
      </c>
      <c r="B811" s="264">
        <v>41326</v>
      </c>
      <c r="C811" s="267">
        <v>387.5</v>
      </c>
      <c r="D811" s="267">
        <v>357.5</v>
      </c>
      <c r="E811" s="392">
        <v>282.5</v>
      </c>
      <c r="Z811" s="322">
        <v>41354</v>
      </c>
      <c r="AA811" s="324">
        <v>372.5</v>
      </c>
      <c r="AB811" s="323">
        <v>342.5</v>
      </c>
    </row>
    <row r="812" spans="1:28">
      <c r="A812" s="264">
        <v>41333</v>
      </c>
      <c r="B812" s="264">
        <v>41333</v>
      </c>
      <c r="C812" s="267">
        <v>380</v>
      </c>
      <c r="D812" s="267">
        <v>355</v>
      </c>
      <c r="E812" s="392">
        <v>302.5</v>
      </c>
      <c r="Z812" s="322">
        <v>41361</v>
      </c>
      <c r="AA812" s="324">
        <v>372.5</v>
      </c>
      <c r="AB812" s="323">
        <v>342.5</v>
      </c>
    </row>
    <row r="813" spans="1:28">
      <c r="A813" s="264">
        <v>41340</v>
      </c>
      <c r="B813" s="264">
        <v>41340</v>
      </c>
      <c r="C813" s="267">
        <v>380</v>
      </c>
      <c r="D813" s="267">
        <v>350</v>
      </c>
      <c r="E813" s="392">
        <v>302.5</v>
      </c>
      <c r="Z813" s="322">
        <v>41368</v>
      </c>
      <c r="AA813" s="324">
        <v>372.5</v>
      </c>
      <c r="AB813" s="323">
        <v>310</v>
      </c>
    </row>
    <row r="814" spans="1:28">
      <c r="A814" s="264">
        <v>41347</v>
      </c>
      <c r="B814" s="264">
        <v>41347</v>
      </c>
      <c r="C814" s="267">
        <v>377.5</v>
      </c>
      <c r="D814" s="267">
        <v>345</v>
      </c>
      <c r="E814" s="392">
        <v>317.5</v>
      </c>
      <c r="Z814" s="322">
        <v>41375</v>
      </c>
      <c r="AA814" s="324">
        <v>352.5</v>
      </c>
      <c r="AB814" s="323">
        <v>297.5</v>
      </c>
    </row>
    <row r="815" spans="1:28">
      <c r="A815" s="264">
        <v>41354</v>
      </c>
      <c r="B815" s="264">
        <v>41354</v>
      </c>
      <c r="C815" s="267">
        <v>372.5</v>
      </c>
      <c r="D815" s="267">
        <v>342.5</v>
      </c>
      <c r="E815" s="392">
        <v>332.5</v>
      </c>
      <c r="Z815" s="322">
        <v>41382</v>
      </c>
      <c r="AA815" s="324">
        <v>346</v>
      </c>
      <c r="AB815" s="323">
        <v>292.5</v>
      </c>
    </row>
    <row r="816" spans="1:28">
      <c r="A816" s="264">
        <v>41361</v>
      </c>
      <c r="B816" s="264">
        <v>41361</v>
      </c>
      <c r="C816" s="267">
        <v>372.5</v>
      </c>
      <c r="D816" s="267">
        <v>342.5</v>
      </c>
      <c r="E816" s="392">
        <v>332.5</v>
      </c>
      <c r="Z816" s="322">
        <v>41389</v>
      </c>
      <c r="AA816" s="324">
        <v>353.5</v>
      </c>
      <c r="AB816" s="323">
        <v>267.5</v>
      </c>
    </row>
    <row r="817" spans="1:28">
      <c r="A817" s="264">
        <v>41368</v>
      </c>
      <c r="B817" s="264">
        <v>41368</v>
      </c>
      <c r="C817" s="267">
        <v>372.5</v>
      </c>
      <c r="D817" s="267">
        <v>342.5</v>
      </c>
      <c r="E817" s="392">
        <v>332.5</v>
      </c>
      <c r="Z817" s="322">
        <v>41396</v>
      </c>
      <c r="AA817" s="324">
        <v>347.5</v>
      </c>
      <c r="AB817" s="323">
        <v>262.5</v>
      </c>
    </row>
    <row r="818" spans="1:28">
      <c r="A818" s="264">
        <v>41375</v>
      </c>
      <c r="B818" s="264">
        <v>41375</v>
      </c>
      <c r="C818" s="267">
        <v>352.5</v>
      </c>
      <c r="D818" s="267">
        <v>310</v>
      </c>
      <c r="E818" s="392">
        <v>327.5</v>
      </c>
      <c r="Z818" s="322">
        <v>41403</v>
      </c>
      <c r="AA818" s="324">
        <v>342.5</v>
      </c>
      <c r="AB818" s="323">
        <v>257.5</v>
      </c>
    </row>
    <row r="819" spans="1:28">
      <c r="A819" s="264">
        <v>41382</v>
      </c>
      <c r="B819" s="264">
        <v>41382</v>
      </c>
      <c r="C819" s="267">
        <v>346</v>
      </c>
      <c r="D819" s="267">
        <v>297.5</v>
      </c>
      <c r="E819" s="392">
        <v>327.5</v>
      </c>
      <c r="Z819" s="322">
        <v>41410</v>
      </c>
      <c r="AA819" s="324">
        <v>340</v>
      </c>
      <c r="AB819" s="323">
        <v>252.5</v>
      </c>
    </row>
    <row r="820" spans="1:28">
      <c r="A820" s="264">
        <v>41389</v>
      </c>
      <c r="B820" s="264">
        <v>41389</v>
      </c>
      <c r="C820" s="267">
        <v>353.5</v>
      </c>
      <c r="D820" s="267">
        <v>292.5</v>
      </c>
      <c r="E820" s="392">
        <v>312.5</v>
      </c>
      <c r="Z820" s="322">
        <v>41417</v>
      </c>
      <c r="AA820" s="324">
        <v>337.5</v>
      </c>
      <c r="AB820" s="323">
        <v>252.5</v>
      </c>
    </row>
    <row r="821" spans="1:28">
      <c r="A821" s="264">
        <v>41396</v>
      </c>
      <c r="B821" s="264">
        <v>41396</v>
      </c>
      <c r="C821" s="267">
        <v>347.5</v>
      </c>
      <c r="D821" s="267">
        <v>267.5</v>
      </c>
      <c r="E821" s="392">
        <v>300</v>
      </c>
      <c r="Z821" s="322">
        <v>41424</v>
      </c>
      <c r="AA821" s="324">
        <v>337.5</v>
      </c>
      <c r="AB821" s="323">
        <v>250.5</v>
      </c>
    </row>
    <row r="822" spans="1:28">
      <c r="A822" s="264">
        <v>41403</v>
      </c>
      <c r="B822" s="264">
        <v>41403</v>
      </c>
      <c r="C822" s="267">
        <v>342.5</v>
      </c>
      <c r="D822" s="267">
        <v>262.5</v>
      </c>
      <c r="E822" s="392">
        <v>300</v>
      </c>
      <c r="Z822" s="322">
        <v>41431</v>
      </c>
      <c r="AA822" s="324">
        <v>327.5</v>
      </c>
      <c r="AB822" s="323">
        <v>242.5</v>
      </c>
    </row>
    <row r="823" spans="1:28">
      <c r="A823" s="264">
        <v>41410</v>
      </c>
      <c r="B823" s="264">
        <v>41410</v>
      </c>
      <c r="C823" s="267">
        <v>340</v>
      </c>
      <c r="D823" s="267">
        <v>257.5</v>
      </c>
      <c r="E823" s="392">
        <v>297.5</v>
      </c>
      <c r="Z823" s="322">
        <v>41438</v>
      </c>
      <c r="AA823" s="324">
        <v>305</v>
      </c>
      <c r="AB823" s="323">
        <v>252.5</v>
      </c>
    </row>
    <row r="824" spans="1:28">
      <c r="A824" s="264">
        <v>41417</v>
      </c>
      <c r="B824" s="264">
        <v>41417</v>
      </c>
      <c r="C824" s="267">
        <v>337.5</v>
      </c>
      <c r="D824" s="267">
        <v>252.5</v>
      </c>
      <c r="E824" s="392">
        <v>295</v>
      </c>
      <c r="Z824" s="322">
        <v>41445</v>
      </c>
      <c r="AA824" s="324">
        <v>307.5</v>
      </c>
      <c r="AB824" s="323">
        <v>256.5</v>
      </c>
    </row>
    <row r="825" spans="1:28">
      <c r="A825" s="264">
        <v>41424</v>
      </c>
      <c r="B825" s="264">
        <v>41424</v>
      </c>
      <c r="C825" s="267">
        <v>337.5</v>
      </c>
      <c r="D825" s="267">
        <v>252.5</v>
      </c>
      <c r="E825" s="392">
        <v>295</v>
      </c>
      <c r="Z825" s="322">
        <v>41452</v>
      </c>
      <c r="AA825" s="324">
        <v>307.5</v>
      </c>
      <c r="AB825" s="323">
        <v>256.5</v>
      </c>
    </row>
    <row r="826" spans="1:28">
      <c r="A826" s="264">
        <v>41431</v>
      </c>
      <c r="B826" s="264">
        <v>41431</v>
      </c>
      <c r="C826" s="267">
        <v>327.5</v>
      </c>
      <c r="D826" s="267">
        <v>250.5</v>
      </c>
      <c r="E826" s="392">
        <v>270.5</v>
      </c>
      <c r="Z826" s="322">
        <v>41459</v>
      </c>
      <c r="AA826" s="324">
        <v>317.5</v>
      </c>
      <c r="AB826" s="323">
        <v>265</v>
      </c>
    </row>
    <row r="827" spans="1:28">
      <c r="A827" s="264">
        <v>41438</v>
      </c>
      <c r="B827" s="264">
        <v>41438</v>
      </c>
      <c r="C827" s="267">
        <v>305</v>
      </c>
      <c r="D827" s="267">
        <v>242.5</v>
      </c>
      <c r="E827" s="392">
        <v>267.5</v>
      </c>
      <c r="Z827" s="322">
        <v>41466</v>
      </c>
      <c r="AA827" s="324">
        <v>317.5</v>
      </c>
      <c r="AB827" s="323">
        <v>267.5</v>
      </c>
    </row>
    <row r="828" spans="1:28">
      <c r="A828" s="264">
        <v>41445</v>
      </c>
      <c r="B828" s="264">
        <v>41445</v>
      </c>
      <c r="C828" s="267">
        <v>307.5</v>
      </c>
      <c r="D828" s="267">
        <v>252.5</v>
      </c>
      <c r="E828" s="392">
        <v>267.5</v>
      </c>
      <c r="Z828" s="322">
        <v>41473</v>
      </c>
      <c r="AA828" s="324">
        <v>322.5</v>
      </c>
      <c r="AB828" s="323">
        <v>267.5</v>
      </c>
    </row>
    <row r="829" spans="1:28">
      <c r="A829" s="264">
        <v>41452</v>
      </c>
      <c r="B829" s="264">
        <v>41452</v>
      </c>
      <c r="C829" s="267">
        <v>307.5</v>
      </c>
      <c r="D829" s="267">
        <v>256.5</v>
      </c>
      <c r="E829" s="392">
        <v>267.5</v>
      </c>
      <c r="Z829" s="322">
        <v>41480</v>
      </c>
      <c r="AA829" s="324">
        <v>321.5</v>
      </c>
      <c r="AB829" s="323">
        <v>272.5</v>
      </c>
    </row>
    <row r="830" spans="1:28">
      <c r="A830" s="264">
        <v>41459</v>
      </c>
      <c r="B830" s="264">
        <v>41459</v>
      </c>
      <c r="C830" s="267">
        <v>317.5</v>
      </c>
      <c r="D830" s="267">
        <v>256.5</v>
      </c>
      <c r="E830" s="392">
        <v>235</v>
      </c>
      <c r="Z830" s="322">
        <v>41487</v>
      </c>
      <c r="AA830" s="324">
        <v>319</v>
      </c>
      <c r="AB830" s="323">
        <v>267.5</v>
      </c>
    </row>
    <row r="831" spans="1:28">
      <c r="A831" s="264">
        <v>41466</v>
      </c>
      <c r="B831" s="264">
        <v>41466</v>
      </c>
      <c r="C831" s="267">
        <v>317.5</v>
      </c>
      <c r="D831" s="267">
        <v>265</v>
      </c>
      <c r="E831" s="392">
        <v>237.5</v>
      </c>
      <c r="Z831" s="322">
        <v>41494</v>
      </c>
      <c r="AA831" s="324">
        <v>312.5</v>
      </c>
      <c r="AB831" s="323">
        <v>262.5</v>
      </c>
    </row>
    <row r="832" spans="1:28">
      <c r="A832" s="264">
        <v>41473</v>
      </c>
      <c r="B832" s="264">
        <v>41473</v>
      </c>
      <c r="C832" s="267">
        <v>322.5</v>
      </c>
      <c r="D832" s="267">
        <v>267.5</v>
      </c>
      <c r="E832" s="392">
        <v>240</v>
      </c>
      <c r="Z832" s="322">
        <v>41501</v>
      </c>
      <c r="AA832" s="324">
        <v>298.5</v>
      </c>
      <c r="AB832" s="323">
        <v>252.5</v>
      </c>
    </row>
    <row r="833" spans="1:28">
      <c r="A833" s="264">
        <v>41480</v>
      </c>
      <c r="B833" s="264">
        <v>41480</v>
      </c>
      <c r="C833" s="267">
        <v>321.5</v>
      </c>
      <c r="D833" s="267">
        <v>267.5</v>
      </c>
      <c r="E833" s="392">
        <v>237.5</v>
      </c>
      <c r="Z833" s="322">
        <v>41508</v>
      </c>
      <c r="AA833" s="324">
        <v>289.5</v>
      </c>
      <c r="AB833" s="323">
        <v>257.5</v>
      </c>
    </row>
    <row r="834" spans="1:28">
      <c r="A834" s="264">
        <v>41487</v>
      </c>
      <c r="B834" s="264">
        <v>41487</v>
      </c>
      <c r="C834" s="267">
        <v>319</v>
      </c>
      <c r="D834" s="267">
        <v>272.5</v>
      </c>
      <c r="E834" s="392">
        <v>240</v>
      </c>
      <c r="Z834" s="322">
        <v>41515</v>
      </c>
      <c r="AA834" s="324">
        <v>280.5</v>
      </c>
      <c r="AB834" s="323">
        <v>255</v>
      </c>
    </row>
    <row r="835" spans="1:28">
      <c r="A835" s="264">
        <v>41494</v>
      </c>
      <c r="B835" s="264">
        <v>41494</v>
      </c>
      <c r="C835" s="267">
        <v>312.5</v>
      </c>
      <c r="D835" s="267">
        <v>267.5</v>
      </c>
      <c r="E835" s="392">
        <v>240</v>
      </c>
      <c r="Z835" s="322">
        <v>41522</v>
      </c>
      <c r="AA835" s="324">
        <v>270.5</v>
      </c>
      <c r="AB835" s="323">
        <v>255</v>
      </c>
    </row>
    <row r="836" spans="1:28">
      <c r="A836" s="264">
        <v>41501</v>
      </c>
      <c r="B836" s="264">
        <v>41501</v>
      </c>
      <c r="C836" s="267">
        <v>298.5</v>
      </c>
      <c r="D836" s="267">
        <v>262.5</v>
      </c>
      <c r="E836" s="392">
        <v>240</v>
      </c>
      <c r="Z836" s="322">
        <v>41529</v>
      </c>
      <c r="AA836" s="324">
        <v>275</v>
      </c>
      <c r="AB836" s="323">
        <v>262.5</v>
      </c>
    </row>
    <row r="837" spans="1:28">
      <c r="A837" s="264">
        <v>41508</v>
      </c>
      <c r="B837" s="264">
        <v>41508</v>
      </c>
      <c r="C837" s="267">
        <v>289.5</v>
      </c>
      <c r="D837" s="267">
        <v>252.5</v>
      </c>
      <c r="E837" s="392">
        <v>240</v>
      </c>
      <c r="Z837" s="322">
        <v>41536</v>
      </c>
      <c r="AA837" s="324">
        <v>274</v>
      </c>
      <c r="AB837" s="323">
        <v>261.5</v>
      </c>
    </row>
    <row r="838" spans="1:28">
      <c r="A838" s="264">
        <v>41515</v>
      </c>
      <c r="B838" s="264">
        <v>41515</v>
      </c>
      <c r="C838" s="267">
        <v>280.5</v>
      </c>
      <c r="D838" s="267">
        <v>257.5</v>
      </c>
      <c r="E838" s="392">
        <v>240</v>
      </c>
      <c r="Z838" s="322">
        <v>41543</v>
      </c>
      <c r="AA838" s="324">
        <v>277.5</v>
      </c>
      <c r="AB838" s="323">
        <v>270.5</v>
      </c>
    </row>
    <row r="839" spans="1:28">
      <c r="A839" s="264">
        <v>41522</v>
      </c>
      <c r="B839" s="264">
        <v>41522</v>
      </c>
      <c r="C839" s="267">
        <v>270.5</v>
      </c>
      <c r="D839" s="267">
        <v>255</v>
      </c>
      <c r="E839" s="392">
        <v>237.5</v>
      </c>
      <c r="Z839" s="322">
        <v>41550</v>
      </c>
      <c r="AA839" s="324">
        <v>280</v>
      </c>
      <c r="AB839" s="323">
        <v>271.5</v>
      </c>
    </row>
    <row r="840" spans="1:28">
      <c r="A840" s="264">
        <v>41529</v>
      </c>
      <c r="B840" s="264">
        <v>41529</v>
      </c>
      <c r="C840" s="267">
        <v>275</v>
      </c>
      <c r="D840" s="267">
        <v>255</v>
      </c>
      <c r="E840" s="392">
        <v>237.5</v>
      </c>
      <c r="Z840" s="322">
        <v>41557</v>
      </c>
      <c r="AA840" s="324">
        <v>282.5</v>
      </c>
      <c r="AB840" s="323">
        <v>272.5</v>
      </c>
    </row>
    <row r="841" spans="1:28">
      <c r="A841" s="264">
        <v>41536</v>
      </c>
      <c r="B841" s="264">
        <v>41536</v>
      </c>
      <c r="C841" s="267">
        <v>274</v>
      </c>
      <c r="D841" s="267">
        <v>262.5</v>
      </c>
      <c r="E841" s="392">
        <v>232.5</v>
      </c>
      <c r="Z841" s="322">
        <v>41564</v>
      </c>
      <c r="AA841" s="324">
        <v>285.5</v>
      </c>
      <c r="AB841" s="323">
        <v>269.5</v>
      </c>
    </row>
    <row r="842" spans="1:28">
      <c r="A842" s="264">
        <v>41543</v>
      </c>
      <c r="B842" s="264">
        <v>41543</v>
      </c>
      <c r="C842" s="267">
        <v>277.5</v>
      </c>
      <c r="D842" s="267">
        <v>261.5</v>
      </c>
      <c r="E842" s="392">
        <v>227.5</v>
      </c>
      <c r="Z842" s="322">
        <v>41571</v>
      </c>
      <c r="AA842" s="324">
        <v>286</v>
      </c>
      <c r="AB842" s="323">
        <v>272</v>
      </c>
    </row>
    <row r="843" spans="1:28">
      <c r="A843" s="264">
        <v>41550</v>
      </c>
      <c r="B843" s="264">
        <v>41550</v>
      </c>
      <c r="C843" s="267">
        <v>280</v>
      </c>
      <c r="D843" s="267">
        <v>270.5</v>
      </c>
      <c r="E843" s="392">
        <v>212.5</v>
      </c>
      <c r="Z843" s="322">
        <v>41578</v>
      </c>
      <c r="AA843" s="324">
        <v>293</v>
      </c>
      <c r="AB843" s="323">
        <v>273</v>
      </c>
    </row>
    <row r="844" spans="1:28">
      <c r="A844" s="264">
        <v>41557</v>
      </c>
      <c r="B844" s="264">
        <v>41557</v>
      </c>
      <c r="C844" s="267">
        <v>282.5</v>
      </c>
      <c r="D844" s="267">
        <v>271.5</v>
      </c>
      <c r="E844" s="392">
        <v>212.5</v>
      </c>
      <c r="Z844" s="322">
        <v>41585</v>
      </c>
      <c r="AA844" s="324">
        <v>300.5</v>
      </c>
      <c r="AB844" s="323">
        <v>276.5</v>
      </c>
    </row>
    <row r="845" spans="1:28">
      <c r="A845" s="264">
        <v>41564</v>
      </c>
      <c r="B845" s="264">
        <v>41564</v>
      </c>
      <c r="C845" s="267">
        <v>285.5</v>
      </c>
      <c r="D845" s="267">
        <v>272.5</v>
      </c>
      <c r="E845" s="392">
        <v>212.5</v>
      </c>
      <c r="Z845" s="322">
        <v>41592</v>
      </c>
      <c r="AA845" s="324">
        <v>302.5</v>
      </c>
      <c r="AB845" s="323">
        <v>277.5</v>
      </c>
    </row>
    <row r="846" spans="1:28">
      <c r="A846" s="264">
        <v>41571</v>
      </c>
      <c r="B846" s="264">
        <v>41571</v>
      </c>
      <c r="C846" s="267">
        <v>286</v>
      </c>
      <c r="D846" s="267">
        <v>269.5</v>
      </c>
      <c r="E846" s="393">
        <v>212.5</v>
      </c>
      <c r="Z846" s="322">
        <v>41599</v>
      </c>
      <c r="AA846" s="324">
        <v>300</v>
      </c>
      <c r="AB846" s="323">
        <v>277.5</v>
      </c>
    </row>
    <row r="847" spans="1:28">
      <c r="A847" s="264">
        <v>41578</v>
      </c>
      <c r="B847" s="264">
        <v>41578</v>
      </c>
      <c r="C847" s="267">
        <v>293</v>
      </c>
      <c r="D847" s="267">
        <v>272</v>
      </c>
      <c r="E847" s="393">
        <v>212.5</v>
      </c>
      <c r="Z847" s="322">
        <v>41606</v>
      </c>
      <c r="AA847" s="324">
        <v>307.5</v>
      </c>
      <c r="AB847" s="323">
        <v>280.5</v>
      </c>
    </row>
    <row r="848" spans="1:28">
      <c r="A848" s="264">
        <v>41585</v>
      </c>
      <c r="B848" s="264">
        <v>41585</v>
      </c>
      <c r="C848" s="267">
        <v>300.5</v>
      </c>
      <c r="D848" s="267">
        <v>273</v>
      </c>
      <c r="E848" s="393">
        <v>212.5</v>
      </c>
      <c r="Z848" s="322">
        <v>41613</v>
      </c>
      <c r="AA848" s="324">
        <v>313</v>
      </c>
      <c r="AB848" s="323">
        <v>281.5</v>
      </c>
    </row>
    <row r="849" spans="1:28">
      <c r="A849" s="264">
        <v>41592</v>
      </c>
      <c r="B849" s="264">
        <v>41592</v>
      </c>
      <c r="C849" s="267">
        <v>302.5</v>
      </c>
      <c r="D849" s="267">
        <v>276.5</v>
      </c>
      <c r="E849" s="393">
        <v>212.5</v>
      </c>
      <c r="Z849" s="322">
        <v>41620</v>
      </c>
      <c r="AA849" s="324">
        <v>323</v>
      </c>
      <c r="AB849" s="323">
        <v>282.5</v>
      </c>
    </row>
    <row r="850" spans="1:28">
      <c r="A850" s="264">
        <v>41599</v>
      </c>
      <c r="B850" s="264">
        <v>41599</v>
      </c>
      <c r="C850" s="267">
        <v>300</v>
      </c>
      <c r="D850" s="267">
        <v>277.5</v>
      </c>
      <c r="E850" s="393">
        <v>213.5</v>
      </c>
      <c r="Z850" s="322">
        <v>41627</v>
      </c>
      <c r="AA850" s="324">
        <v>332.5</v>
      </c>
      <c r="AB850" s="323">
        <v>282.5</v>
      </c>
    </row>
    <row r="851" spans="1:28">
      <c r="A851" s="264">
        <v>41606</v>
      </c>
      <c r="B851" s="264">
        <v>41606</v>
      </c>
      <c r="C851" s="267">
        <v>307.5</v>
      </c>
      <c r="D851" s="267">
        <v>277.5</v>
      </c>
      <c r="E851" s="393">
        <v>213.5</v>
      </c>
      <c r="Z851" s="322">
        <v>41634</v>
      </c>
      <c r="AA851" s="324">
        <v>332.5</v>
      </c>
      <c r="AB851" s="323">
        <v>282.5</v>
      </c>
    </row>
    <row r="852" spans="1:28">
      <c r="A852" s="264">
        <v>41613</v>
      </c>
      <c r="B852" s="264">
        <v>41613</v>
      </c>
      <c r="C852" s="267">
        <v>313</v>
      </c>
      <c r="D852" s="267">
        <v>280.5</v>
      </c>
      <c r="E852" s="393">
        <v>216.75</v>
      </c>
      <c r="Z852" s="322">
        <v>41641</v>
      </c>
      <c r="AA852" s="324">
        <v>323.5</v>
      </c>
      <c r="AB852" s="323">
        <v>295</v>
      </c>
    </row>
    <row r="853" spans="1:28">
      <c r="A853" s="264">
        <v>41620</v>
      </c>
      <c r="B853" s="264">
        <v>41620</v>
      </c>
      <c r="C853" s="267">
        <v>323</v>
      </c>
      <c r="D853" s="267">
        <v>281.5</v>
      </c>
      <c r="E853" s="393">
        <v>214.5</v>
      </c>
      <c r="Z853" s="322">
        <v>41648</v>
      </c>
      <c r="AA853" s="324">
        <v>325</v>
      </c>
      <c r="AB853" s="323">
        <v>307.5</v>
      </c>
    </row>
    <row r="854" spans="1:28">
      <c r="A854" s="264">
        <v>41627</v>
      </c>
      <c r="B854" s="264">
        <v>41627</v>
      </c>
      <c r="C854" s="267">
        <v>332.5</v>
      </c>
      <c r="D854" s="267">
        <v>282.5</v>
      </c>
      <c r="E854" s="393">
        <v>214.5</v>
      </c>
      <c r="Z854" s="322">
        <v>41655</v>
      </c>
      <c r="AA854" s="324">
        <v>335</v>
      </c>
      <c r="AB854" s="323">
        <v>310</v>
      </c>
    </row>
    <row r="855" spans="1:28">
      <c r="A855" s="264">
        <v>41634</v>
      </c>
      <c r="B855" s="264">
        <v>41634</v>
      </c>
      <c r="C855" s="267">
        <v>332.5</v>
      </c>
      <c r="D855" s="267">
        <v>282.5</v>
      </c>
      <c r="E855" s="393">
        <v>214.5</v>
      </c>
      <c r="Z855" s="322">
        <v>41662</v>
      </c>
      <c r="AA855" s="324">
        <v>360</v>
      </c>
      <c r="AB855" s="323">
        <v>317.5</v>
      </c>
    </row>
    <row r="856" spans="1:28">
      <c r="A856" s="264">
        <v>41641</v>
      </c>
      <c r="B856" s="264">
        <v>41641</v>
      </c>
      <c r="C856" s="267">
        <v>323.5</v>
      </c>
      <c r="D856" s="267">
        <v>282.5</v>
      </c>
      <c r="E856" s="393">
        <v>214</v>
      </c>
      <c r="Z856" s="322">
        <v>41669</v>
      </c>
      <c r="AA856" s="324">
        <v>354</v>
      </c>
      <c r="AB856" s="323">
        <v>317.5</v>
      </c>
    </row>
    <row r="857" spans="1:28">
      <c r="A857" s="264">
        <v>41648</v>
      </c>
      <c r="B857" s="264">
        <v>41648</v>
      </c>
      <c r="C857" s="267">
        <v>325</v>
      </c>
      <c r="D857" s="267">
        <v>295</v>
      </c>
      <c r="E857" s="393">
        <v>214</v>
      </c>
      <c r="Z857" s="322">
        <v>41676</v>
      </c>
      <c r="AA857" s="324">
        <v>351.5</v>
      </c>
      <c r="AB857" s="323">
        <v>317.5</v>
      </c>
    </row>
    <row r="858" spans="1:28">
      <c r="A858" s="264">
        <v>41655</v>
      </c>
      <c r="B858" s="264">
        <v>41655</v>
      </c>
      <c r="C858" s="267">
        <v>335</v>
      </c>
      <c r="D858" s="267">
        <v>307.5</v>
      </c>
      <c r="E858" s="393">
        <v>235</v>
      </c>
      <c r="Z858" s="322">
        <v>41683</v>
      </c>
      <c r="AA858" s="324">
        <v>337.5</v>
      </c>
      <c r="AB858" s="323">
        <v>317.5</v>
      </c>
    </row>
    <row r="859" spans="1:28">
      <c r="A859" s="264">
        <v>41662</v>
      </c>
      <c r="B859" s="264">
        <v>41662</v>
      </c>
      <c r="C859" s="267">
        <v>360</v>
      </c>
      <c r="D859" s="267">
        <v>310</v>
      </c>
      <c r="E859" s="393">
        <v>235</v>
      </c>
      <c r="Z859" s="322">
        <v>41690</v>
      </c>
      <c r="AA859" s="324">
        <v>333</v>
      </c>
      <c r="AB859" s="323">
        <v>317.5</v>
      </c>
    </row>
    <row r="860" spans="1:28">
      <c r="A860" s="264">
        <v>41669</v>
      </c>
      <c r="B860" s="264">
        <v>41669</v>
      </c>
      <c r="C860" s="267">
        <v>354</v>
      </c>
      <c r="D860" s="267">
        <v>317.5</v>
      </c>
      <c r="E860" s="395">
        <v>252.5</v>
      </c>
      <c r="Z860" s="322">
        <v>41697</v>
      </c>
      <c r="AA860" s="324">
        <v>325</v>
      </c>
      <c r="AB860" s="323">
        <v>317.5</v>
      </c>
    </row>
    <row r="861" spans="1:28">
      <c r="A861" s="264">
        <v>41676</v>
      </c>
      <c r="B861" s="264">
        <v>41676</v>
      </c>
      <c r="C861" s="267">
        <v>351.5</v>
      </c>
      <c r="D861" s="267">
        <v>317.5</v>
      </c>
      <c r="E861" s="395">
        <v>252.5</v>
      </c>
      <c r="Z861" s="322">
        <v>41704</v>
      </c>
      <c r="AA861" s="324">
        <v>322.5</v>
      </c>
      <c r="AB861" s="323">
        <v>302.5</v>
      </c>
    </row>
    <row r="862" spans="1:28">
      <c r="A862" s="264">
        <v>41683</v>
      </c>
      <c r="B862" s="264">
        <v>41683</v>
      </c>
      <c r="C862" s="267">
        <v>337.5</v>
      </c>
      <c r="D862" s="267">
        <v>317.5</v>
      </c>
      <c r="E862" s="395">
        <v>263</v>
      </c>
      <c r="Z862" s="322">
        <v>41711</v>
      </c>
      <c r="AA862" s="324">
        <v>314.5</v>
      </c>
      <c r="AB862" s="323">
        <v>279</v>
      </c>
    </row>
    <row r="863" spans="1:28">
      <c r="A863" s="264">
        <v>41690</v>
      </c>
      <c r="B863" s="264">
        <v>41690</v>
      </c>
      <c r="C863" s="267">
        <v>333</v>
      </c>
      <c r="D863" s="267">
        <v>317.5</v>
      </c>
      <c r="E863" s="395">
        <v>263</v>
      </c>
      <c r="Z863" s="322">
        <v>41718</v>
      </c>
      <c r="AA863" s="324">
        <v>307.5</v>
      </c>
      <c r="AB863" s="323">
        <v>277.5</v>
      </c>
    </row>
    <row r="864" spans="1:28">
      <c r="A864" s="264">
        <v>41697</v>
      </c>
      <c r="B864" s="264">
        <v>41697</v>
      </c>
      <c r="C864" s="267">
        <v>325</v>
      </c>
      <c r="D864" s="267">
        <v>317.5</v>
      </c>
      <c r="E864" s="395">
        <v>282</v>
      </c>
      <c r="Z864" s="322">
        <v>41725</v>
      </c>
      <c r="AA864" s="324">
        <v>300</v>
      </c>
      <c r="AB864" s="323">
        <v>270</v>
      </c>
    </row>
    <row r="865" spans="1:28">
      <c r="A865" s="264">
        <v>41704</v>
      </c>
      <c r="B865" s="264">
        <v>41704</v>
      </c>
      <c r="C865" s="267">
        <v>322.5</v>
      </c>
      <c r="D865" s="267">
        <v>317.5</v>
      </c>
      <c r="E865" s="395">
        <v>282</v>
      </c>
      <c r="Z865" s="322">
        <v>41732</v>
      </c>
      <c r="AA865" s="324">
        <v>290</v>
      </c>
      <c r="AB865" s="323">
        <v>267.5</v>
      </c>
    </row>
    <row r="866" spans="1:28">
      <c r="A866" s="264">
        <v>41711</v>
      </c>
      <c r="B866" s="264">
        <v>41711</v>
      </c>
      <c r="C866" s="267">
        <v>314.5</v>
      </c>
      <c r="D866" s="267">
        <v>302.5</v>
      </c>
      <c r="E866" s="395">
        <v>282.5</v>
      </c>
      <c r="Z866" s="322">
        <v>41739</v>
      </c>
      <c r="AA866" s="324">
        <v>286.5</v>
      </c>
      <c r="AB866" s="323">
        <v>262.5</v>
      </c>
    </row>
    <row r="867" spans="1:28">
      <c r="A867" s="264">
        <v>41718</v>
      </c>
      <c r="B867" s="264">
        <v>41718</v>
      </c>
      <c r="C867" s="267">
        <v>307.5</v>
      </c>
      <c r="D867" s="267">
        <v>279</v>
      </c>
      <c r="E867" s="395">
        <v>282.5</v>
      </c>
      <c r="Z867" s="322">
        <v>41746</v>
      </c>
      <c r="AA867" s="324">
        <v>290.5</v>
      </c>
      <c r="AB867" s="323">
        <v>262.5</v>
      </c>
    </row>
    <row r="868" spans="1:28">
      <c r="A868" s="264">
        <v>41725</v>
      </c>
      <c r="B868" s="264">
        <v>41725</v>
      </c>
      <c r="C868" s="267">
        <v>300</v>
      </c>
      <c r="D868" s="267">
        <v>277.5</v>
      </c>
      <c r="E868" s="395">
        <v>282.5</v>
      </c>
      <c r="Z868" s="322">
        <v>41753</v>
      </c>
      <c r="AA868" s="324">
        <v>292.5</v>
      </c>
      <c r="AB868" s="323">
        <v>253.5</v>
      </c>
    </row>
    <row r="869" spans="1:28">
      <c r="A869" s="264">
        <v>41732</v>
      </c>
      <c r="B869" s="264">
        <v>41732</v>
      </c>
      <c r="C869" s="267">
        <v>290</v>
      </c>
      <c r="D869" s="267">
        <v>270</v>
      </c>
      <c r="E869" s="395">
        <v>280</v>
      </c>
      <c r="Z869" s="322">
        <v>41760</v>
      </c>
      <c r="AA869" s="324">
        <v>296.5</v>
      </c>
      <c r="AB869" s="323">
        <v>252.5</v>
      </c>
    </row>
    <row r="870" spans="1:28">
      <c r="A870" s="264">
        <v>41739</v>
      </c>
      <c r="B870" s="264">
        <v>41739</v>
      </c>
      <c r="C870" s="267">
        <v>286.5</v>
      </c>
      <c r="D870" s="267">
        <v>267.5</v>
      </c>
      <c r="E870" s="395">
        <v>280</v>
      </c>
      <c r="Z870" s="322">
        <v>41767</v>
      </c>
      <c r="AA870" s="324">
        <v>296.5</v>
      </c>
      <c r="AB870" s="323">
        <v>252.5</v>
      </c>
    </row>
    <row r="871" spans="1:28">
      <c r="A871" s="264">
        <v>41746</v>
      </c>
      <c r="B871" s="264">
        <v>41746</v>
      </c>
      <c r="C871" s="267">
        <v>290.5</v>
      </c>
      <c r="D871" s="267">
        <v>262.5</v>
      </c>
      <c r="E871" s="395">
        <v>272.5</v>
      </c>
      <c r="Z871" s="322">
        <v>41774</v>
      </c>
      <c r="AA871" s="324">
        <v>296.5</v>
      </c>
      <c r="AB871" s="323">
        <v>252.5</v>
      </c>
    </row>
    <row r="872" spans="1:28">
      <c r="A872" s="264">
        <v>41753</v>
      </c>
      <c r="B872" s="264">
        <v>41753</v>
      </c>
      <c r="C872" s="267">
        <v>292.5</v>
      </c>
      <c r="D872" s="267">
        <v>262.5</v>
      </c>
      <c r="E872" s="395">
        <v>267.5</v>
      </c>
      <c r="Z872" s="322">
        <v>41781</v>
      </c>
      <c r="AA872" s="324">
        <v>287.5</v>
      </c>
      <c r="AB872" s="323">
        <v>250</v>
      </c>
    </row>
    <row r="873" spans="1:28">
      <c r="A873" s="264">
        <v>41760</v>
      </c>
      <c r="B873" s="264">
        <v>41760</v>
      </c>
      <c r="C873" s="267">
        <v>296.5</v>
      </c>
      <c r="D873" s="267">
        <v>253.5</v>
      </c>
      <c r="E873" s="395">
        <v>267.5</v>
      </c>
      <c r="Z873" s="322">
        <v>41788</v>
      </c>
      <c r="AA873" s="324">
        <v>295</v>
      </c>
      <c r="AB873" s="323">
        <v>252.5</v>
      </c>
    </row>
    <row r="874" spans="1:28">
      <c r="A874" s="264">
        <v>41767</v>
      </c>
      <c r="B874" s="264">
        <v>41767</v>
      </c>
      <c r="C874" s="267">
        <v>296.5</v>
      </c>
      <c r="D874" s="267">
        <v>252.5</v>
      </c>
      <c r="E874" s="395">
        <v>267.5</v>
      </c>
      <c r="Z874" s="322">
        <v>41795</v>
      </c>
      <c r="AA874" s="324">
        <v>295</v>
      </c>
      <c r="AB874" s="323">
        <v>252.5</v>
      </c>
    </row>
    <row r="875" spans="1:28">
      <c r="A875" s="264">
        <v>41774</v>
      </c>
      <c r="B875" s="264">
        <v>41774</v>
      </c>
      <c r="C875" s="267">
        <v>296.5</v>
      </c>
      <c r="D875" s="267">
        <v>252.5</v>
      </c>
      <c r="E875" s="395">
        <v>267.5</v>
      </c>
      <c r="Z875" s="322">
        <v>41802</v>
      </c>
      <c r="AA875" s="324">
        <v>300</v>
      </c>
      <c r="AB875" s="323">
        <v>260</v>
      </c>
    </row>
    <row r="876" spans="1:28">
      <c r="A876" s="264">
        <v>41781</v>
      </c>
      <c r="B876" s="264">
        <v>41781</v>
      </c>
      <c r="C876" s="267">
        <v>287.5</v>
      </c>
      <c r="D876" s="267">
        <v>252.5</v>
      </c>
      <c r="E876" s="395">
        <v>245</v>
      </c>
      <c r="Z876" s="322">
        <v>41809</v>
      </c>
      <c r="AA876" s="324">
        <v>300</v>
      </c>
      <c r="AB876" s="323">
        <v>261.5</v>
      </c>
    </row>
    <row r="877" spans="1:28">
      <c r="A877" s="264">
        <v>41788</v>
      </c>
      <c r="B877" s="264">
        <v>41788</v>
      </c>
      <c r="C877" s="267">
        <v>295</v>
      </c>
      <c r="D877" s="267">
        <v>250</v>
      </c>
      <c r="E877" s="395">
        <v>250</v>
      </c>
      <c r="Z877" s="322">
        <v>41816</v>
      </c>
      <c r="AA877" s="324">
        <v>300</v>
      </c>
      <c r="AB877" s="323">
        <v>261.5</v>
      </c>
    </row>
    <row r="878" spans="1:28">
      <c r="A878" s="264">
        <v>41795</v>
      </c>
      <c r="B878" s="264">
        <v>41795</v>
      </c>
      <c r="C878" s="267">
        <v>295</v>
      </c>
      <c r="D878" s="267">
        <v>252.5</v>
      </c>
      <c r="E878" s="395">
        <v>250</v>
      </c>
      <c r="Z878" s="322">
        <v>41823</v>
      </c>
      <c r="AA878" s="324">
        <v>302.5</v>
      </c>
      <c r="AB878" s="323">
        <v>261.5</v>
      </c>
    </row>
    <row r="879" spans="1:28">
      <c r="A879" s="264">
        <v>41802</v>
      </c>
      <c r="B879" s="264">
        <v>41802</v>
      </c>
      <c r="C879" s="267">
        <v>300</v>
      </c>
      <c r="D879" s="267">
        <v>252.5</v>
      </c>
      <c r="E879" s="395">
        <v>237.5</v>
      </c>
      <c r="Z879" s="322">
        <v>41830</v>
      </c>
      <c r="AA879" s="324">
        <v>301.5</v>
      </c>
      <c r="AB879" s="323">
        <v>261.5</v>
      </c>
    </row>
    <row r="880" spans="1:28">
      <c r="A880" s="264">
        <v>41809</v>
      </c>
      <c r="B880" s="264">
        <v>41809</v>
      </c>
      <c r="C880" s="267">
        <v>300</v>
      </c>
      <c r="D880" s="267">
        <v>260</v>
      </c>
      <c r="E880" s="395">
        <v>230</v>
      </c>
      <c r="Z880" s="322">
        <v>41837</v>
      </c>
      <c r="AA880" s="324">
        <v>292.5</v>
      </c>
      <c r="AB880" s="323">
        <v>261.5</v>
      </c>
    </row>
    <row r="881" spans="1:28">
      <c r="A881" s="264">
        <v>41816</v>
      </c>
      <c r="B881" s="264">
        <v>41816</v>
      </c>
      <c r="C881" s="267">
        <v>300</v>
      </c>
      <c r="D881" s="267">
        <v>261.5</v>
      </c>
      <c r="E881" s="395">
        <v>230</v>
      </c>
      <c r="Z881" s="322">
        <v>41844</v>
      </c>
      <c r="AA881" s="324">
        <v>295</v>
      </c>
      <c r="AB881" s="323">
        <v>270</v>
      </c>
    </row>
    <row r="882" spans="1:28">
      <c r="A882" s="264">
        <v>41823</v>
      </c>
      <c r="B882" s="264">
        <v>41823</v>
      </c>
      <c r="C882" s="267">
        <v>302.5</v>
      </c>
      <c r="D882" s="267">
        <v>261.5</v>
      </c>
      <c r="E882" s="395">
        <v>202.5</v>
      </c>
      <c r="Z882" s="322">
        <v>41851</v>
      </c>
      <c r="AA882" s="324">
        <v>305</v>
      </c>
      <c r="AB882" s="323">
        <v>270</v>
      </c>
    </row>
    <row r="883" spans="1:28">
      <c r="A883" s="264">
        <v>41830</v>
      </c>
      <c r="B883" s="264">
        <v>41830</v>
      </c>
      <c r="C883" s="267">
        <v>301.5</v>
      </c>
      <c r="D883" s="267">
        <v>261.5</v>
      </c>
      <c r="E883" s="395">
        <v>217.5</v>
      </c>
      <c r="Z883" s="322">
        <v>41858</v>
      </c>
      <c r="AA883" s="324">
        <v>307.5</v>
      </c>
      <c r="AB883" s="323">
        <v>270</v>
      </c>
    </row>
    <row r="884" spans="1:28">
      <c r="A884" s="264">
        <v>41837</v>
      </c>
      <c r="B884" s="264">
        <v>41837</v>
      </c>
      <c r="C884" s="267">
        <v>292.5</v>
      </c>
      <c r="D884" s="267">
        <v>261.5</v>
      </c>
      <c r="E884" s="395">
        <v>218.5</v>
      </c>
      <c r="Z884" s="322">
        <v>41865</v>
      </c>
      <c r="AA884" s="324">
        <v>310.5</v>
      </c>
      <c r="AB884" s="323">
        <v>274.5</v>
      </c>
    </row>
    <row r="885" spans="1:28">
      <c r="A885" s="264">
        <v>41844</v>
      </c>
      <c r="B885" s="264">
        <v>41844</v>
      </c>
      <c r="C885" s="267">
        <v>295</v>
      </c>
      <c r="D885" s="267">
        <v>261.5</v>
      </c>
      <c r="E885" s="395">
        <v>218.5</v>
      </c>
      <c r="Z885" s="322">
        <v>41872</v>
      </c>
      <c r="AA885" s="324">
        <v>323.5</v>
      </c>
      <c r="AB885" s="323">
        <v>283</v>
      </c>
    </row>
    <row r="886" spans="1:28">
      <c r="A886" s="264">
        <v>41851</v>
      </c>
      <c r="B886" s="264">
        <v>41851</v>
      </c>
      <c r="C886" s="267">
        <v>305</v>
      </c>
      <c r="D886" s="267">
        <v>270</v>
      </c>
      <c r="E886" s="393">
        <v>218.5</v>
      </c>
      <c r="Z886" s="322">
        <v>41879</v>
      </c>
      <c r="AA886" s="324">
        <v>329.5</v>
      </c>
      <c r="AB886" s="323">
        <v>284</v>
      </c>
    </row>
    <row r="887" spans="1:28">
      <c r="A887" s="264">
        <v>41858</v>
      </c>
      <c r="B887" s="264">
        <v>41858</v>
      </c>
      <c r="C887" s="267">
        <v>307.5</v>
      </c>
      <c r="D887" s="267">
        <v>270</v>
      </c>
      <c r="E887" s="393">
        <v>218.5</v>
      </c>
      <c r="Z887" s="322">
        <v>41886</v>
      </c>
      <c r="AA887" s="324">
        <v>332.5</v>
      </c>
      <c r="AB887" s="323">
        <v>284</v>
      </c>
    </row>
    <row r="888" spans="1:28">
      <c r="A888" s="264">
        <v>41865</v>
      </c>
      <c r="B888" s="264">
        <v>41865</v>
      </c>
      <c r="C888" s="267">
        <v>310.5</v>
      </c>
      <c r="D888" s="267">
        <v>270</v>
      </c>
      <c r="E888" s="393">
        <v>223.5</v>
      </c>
      <c r="Z888" s="322">
        <v>41893</v>
      </c>
      <c r="AA888" s="324">
        <v>330</v>
      </c>
      <c r="AB888" s="323">
        <v>285</v>
      </c>
    </row>
    <row r="889" spans="1:28">
      <c r="A889" s="264">
        <v>41872</v>
      </c>
      <c r="B889" s="264">
        <v>41872</v>
      </c>
      <c r="C889" s="267">
        <v>323.5</v>
      </c>
      <c r="D889" s="267">
        <v>274.5</v>
      </c>
      <c r="E889" s="393">
        <v>227.5</v>
      </c>
      <c r="Z889" s="322">
        <v>41900</v>
      </c>
      <c r="AA889" s="324">
        <v>327.5</v>
      </c>
      <c r="AB889" s="323">
        <v>280</v>
      </c>
    </row>
    <row r="890" spans="1:28">
      <c r="A890" s="264">
        <v>41879</v>
      </c>
      <c r="B890" s="264">
        <v>41879</v>
      </c>
      <c r="C890" s="267">
        <v>329.5</v>
      </c>
      <c r="D890" s="267">
        <v>283</v>
      </c>
      <c r="E890" s="393">
        <v>228.5</v>
      </c>
      <c r="Z890" s="322">
        <v>41907</v>
      </c>
      <c r="AA890" s="324">
        <v>320</v>
      </c>
      <c r="AB890" s="323">
        <v>280</v>
      </c>
    </row>
    <row r="891" spans="1:28">
      <c r="A891" s="264">
        <v>41886</v>
      </c>
      <c r="B891" s="264">
        <v>41886</v>
      </c>
      <c r="C891" s="267">
        <v>332.5</v>
      </c>
      <c r="D891" s="267">
        <v>284</v>
      </c>
      <c r="E891" s="393">
        <v>228.5</v>
      </c>
      <c r="Z891" s="322">
        <v>41914</v>
      </c>
      <c r="AA891" s="324">
        <v>320</v>
      </c>
      <c r="AB891" s="323">
        <v>280</v>
      </c>
    </row>
    <row r="892" spans="1:28">
      <c r="A892" s="264">
        <v>41893</v>
      </c>
      <c r="B892" s="264">
        <v>41893</v>
      </c>
      <c r="C892" s="267">
        <v>330</v>
      </c>
      <c r="D892" s="267">
        <v>284</v>
      </c>
      <c r="E892" s="393">
        <v>228.5</v>
      </c>
      <c r="Z892" s="322">
        <v>41921</v>
      </c>
      <c r="AA892" s="324">
        <v>320</v>
      </c>
      <c r="AB892" s="323">
        <v>277.5</v>
      </c>
    </row>
    <row r="893" spans="1:28">
      <c r="A893" s="264">
        <v>41900</v>
      </c>
      <c r="B893" s="264">
        <v>41900</v>
      </c>
      <c r="C893" s="267">
        <v>327.5</v>
      </c>
      <c r="D893" s="267">
        <v>285</v>
      </c>
      <c r="E893" s="393">
        <v>219</v>
      </c>
      <c r="Z893" s="322">
        <v>41928</v>
      </c>
      <c r="AA893" s="324">
        <v>320</v>
      </c>
      <c r="AB893" s="323">
        <v>278.5</v>
      </c>
    </row>
    <row r="894" spans="1:28">
      <c r="A894" s="264">
        <v>41907</v>
      </c>
      <c r="B894" s="264">
        <v>41907</v>
      </c>
      <c r="C894" s="267">
        <v>320</v>
      </c>
      <c r="D894" s="267">
        <v>280</v>
      </c>
      <c r="E894" s="393">
        <v>226</v>
      </c>
      <c r="Z894" s="322">
        <v>41935</v>
      </c>
      <c r="AA894" s="324">
        <v>317.5</v>
      </c>
      <c r="AB894" s="323">
        <v>277</v>
      </c>
    </row>
    <row r="895" spans="1:28">
      <c r="A895" s="264">
        <v>41914</v>
      </c>
      <c r="B895" s="264">
        <v>41914</v>
      </c>
      <c r="C895" s="267">
        <v>320</v>
      </c>
      <c r="D895" s="267">
        <v>280</v>
      </c>
      <c r="E895" s="393">
        <v>226</v>
      </c>
      <c r="Z895" s="322">
        <v>41942</v>
      </c>
      <c r="AA895" s="324">
        <v>317.5</v>
      </c>
      <c r="AB895" s="323">
        <v>277</v>
      </c>
    </row>
    <row r="896" spans="1:28">
      <c r="A896" s="264">
        <v>41921</v>
      </c>
      <c r="B896" s="264">
        <v>41921</v>
      </c>
      <c r="C896" s="267">
        <v>320</v>
      </c>
      <c r="D896" s="267">
        <v>280</v>
      </c>
      <c r="E896" s="393">
        <v>226</v>
      </c>
      <c r="Z896" s="322">
        <v>41949</v>
      </c>
      <c r="AA896" s="324">
        <v>312</v>
      </c>
      <c r="AB896" s="323">
        <v>278</v>
      </c>
    </row>
    <row r="897" spans="1:28">
      <c r="A897" s="264">
        <v>41928</v>
      </c>
      <c r="B897" s="264">
        <v>41928</v>
      </c>
      <c r="C897" s="267">
        <v>320</v>
      </c>
      <c r="D897" s="267">
        <v>277.5</v>
      </c>
      <c r="E897" s="393">
        <v>232.5</v>
      </c>
      <c r="Z897" s="322">
        <v>41956</v>
      </c>
      <c r="AA897" s="324">
        <v>312</v>
      </c>
      <c r="AB897" s="323">
        <v>277.5</v>
      </c>
    </row>
    <row r="898" spans="1:28">
      <c r="A898" s="264">
        <v>41935</v>
      </c>
      <c r="B898" s="264">
        <v>41935</v>
      </c>
      <c r="C898" s="267">
        <v>317.5</v>
      </c>
      <c r="D898" s="267">
        <v>278.5</v>
      </c>
      <c r="E898" s="393">
        <v>232.5</v>
      </c>
      <c r="Z898" s="322">
        <v>41963</v>
      </c>
      <c r="AA898" s="324">
        <v>306.5</v>
      </c>
      <c r="AB898" s="323">
        <v>277.5</v>
      </c>
    </row>
    <row r="899" spans="1:28">
      <c r="A899" s="264">
        <v>41942</v>
      </c>
      <c r="B899" s="264">
        <v>41942</v>
      </c>
      <c r="C899" s="267">
        <v>317.5</v>
      </c>
      <c r="D899" s="267">
        <v>277</v>
      </c>
      <c r="E899" s="393">
        <v>232.5</v>
      </c>
      <c r="Z899" s="322">
        <v>41970</v>
      </c>
      <c r="AA899" s="324">
        <v>302.5</v>
      </c>
      <c r="AB899" s="323">
        <v>281.5</v>
      </c>
    </row>
    <row r="900" spans="1:28">
      <c r="A900" s="264">
        <v>41949</v>
      </c>
      <c r="B900" s="264">
        <v>41949</v>
      </c>
      <c r="C900" s="267">
        <v>312</v>
      </c>
      <c r="D900" s="267">
        <v>277</v>
      </c>
      <c r="E900" s="393">
        <v>232.5</v>
      </c>
      <c r="Z900" s="322">
        <v>41977</v>
      </c>
      <c r="AA900" s="324">
        <v>300</v>
      </c>
      <c r="AB900" s="323">
        <v>284.5</v>
      </c>
    </row>
    <row r="901" spans="1:28">
      <c r="A901" s="264">
        <v>41956</v>
      </c>
      <c r="B901" s="264">
        <v>41956</v>
      </c>
      <c r="C901" s="267">
        <v>312</v>
      </c>
      <c r="D901" s="267">
        <v>278</v>
      </c>
      <c r="E901" s="393">
        <v>233</v>
      </c>
      <c r="Z901" s="322">
        <v>41984</v>
      </c>
      <c r="AA901" s="324">
        <v>305</v>
      </c>
      <c r="AB901" s="323">
        <v>284.5</v>
      </c>
    </row>
    <row r="902" spans="1:28">
      <c r="A902" s="264">
        <v>41963</v>
      </c>
      <c r="B902" s="264">
        <v>41963</v>
      </c>
      <c r="C902" s="267">
        <v>306.5</v>
      </c>
      <c r="D902" s="267">
        <v>277.5</v>
      </c>
      <c r="E902" s="393">
        <v>221.5</v>
      </c>
      <c r="Z902" s="322">
        <v>41991</v>
      </c>
      <c r="AA902" s="324">
        <v>315</v>
      </c>
      <c r="AB902" s="323">
        <v>284.5</v>
      </c>
    </row>
    <row r="903" spans="1:28">
      <c r="A903" s="264">
        <v>41970</v>
      </c>
      <c r="B903" s="264">
        <v>41970</v>
      </c>
      <c r="C903" s="267">
        <v>302.5</v>
      </c>
      <c r="D903" s="267">
        <v>277.5</v>
      </c>
      <c r="E903" s="393">
        <v>227.5</v>
      </c>
      <c r="Z903" s="322">
        <v>41998</v>
      </c>
      <c r="AA903" s="324">
        <v>315</v>
      </c>
      <c r="AB903" s="323">
        <v>282.5</v>
      </c>
    </row>
    <row r="904" spans="1:28">
      <c r="A904" s="264">
        <v>41977</v>
      </c>
      <c r="B904" s="264">
        <v>41977</v>
      </c>
      <c r="C904" s="267">
        <v>300</v>
      </c>
      <c r="D904" s="267">
        <v>281.5</v>
      </c>
      <c r="E904" s="393">
        <v>227.5</v>
      </c>
      <c r="Z904" s="322">
        <v>42012</v>
      </c>
      <c r="AA904" s="324">
        <v>317.5</v>
      </c>
      <c r="AB904" s="323">
        <v>284.5</v>
      </c>
    </row>
    <row r="905" spans="1:28">
      <c r="A905" s="264">
        <v>41984</v>
      </c>
      <c r="B905" s="264">
        <v>41984</v>
      </c>
      <c r="C905" s="267">
        <v>305</v>
      </c>
      <c r="D905" s="267">
        <v>284.5</v>
      </c>
      <c r="E905" s="393">
        <v>227.5</v>
      </c>
      <c r="Z905" s="322">
        <v>42019</v>
      </c>
      <c r="AA905" s="324">
        <v>312.5</v>
      </c>
      <c r="AB905" s="323">
        <v>285.5</v>
      </c>
    </row>
    <row r="906" spans="1:28">
      <c r="A906" s="264">
        <v>41991</v>
      </c>
      <c r="B906" s="264">
        <v>41991</v>
      </c>
      <c r="C906" s="267">
        <v>315</v>
      </c>
      <c r="D906" s="267">
        <v>284.5</v>
      </c>
      <c r="E906" s="393">
        <v>233.5</v>
      </c>
      <c r="Z906" s="322">
        <v>42026</v>
      </c>
      <c r="AA906" s="324">
        <v>312.5</v>
      </c>
      <c r="AB906" s="323">
        <v>282.5</v>
      </c>
    </row>
    <row r="907" spans="1:28">
      <c r="A907" s="264">
        <v>41998</v>
      </c>
      <c r="B907" s="264">
        <v>41998</v>
      </c>
      <c r="C907" s="267">
        <v>315</v>
      </c>
      <c r="D907" s="267">
        <v>284.5</v>
      </c>
      <c r="E907" s="393">
        <v>233.5</v>
      </c>
      <c r="Z907" s="322">
        <v>42033</v>
      </c>
      <c r="AA907" s="324">
        <v>302.5</v>
      </c>
      <c r="AB907" s="323">
        <v>282.5</v>
      </c>
    </row>
    <row r="908" spans="1:28">
      <c r="A908" s="264">
        <v>42012</v>
      </c>
      <c r="B908" s="264">
        <v>42012</v>
      </c>
      <c r="C908" s="267">
        <v>317.5</v>
      </c>
      <c r="D908" s="267">
        <v>282.5</v>
      </c>
      <c r="E908" s="393">
        <v>233.5</v>
      </c>
      <c r="Z908" s="322">
        <v>42040</v>
      </c>
      <c r="AA908" s="324">
        <v>302.5</v>
      </c>
      <c r="AB908" s="323">
        <v>282</v>
      </c>
    </row>
    <row r="909" spans="1:28">
      <c r="A909" s="264">
        <v>42019</v>
      </c>
      <c r="B909" s="264">
        <v>42019</v>
      </c>
      <c r="C909" s="267">
        <v>312.5</v>
      </c>
      <c r="D909" s="267">
        <v>284.5</v>
      </c>
      <c r="E909" s="393">
        <v>241</v>
      </c>
      <c r="Z909" s="322">
        <v>42047</v>
      </c>
      <c r="AA909" s="324">
        <v>296</v>
      </c>
      <c r="AB909" s="323">
        <v>280</v>
      </c>
    </row>
    <row r="910" spans="1:28">
      <c r="A910" s="264">
        <v>42026</v>
      </c>
      <c r="B910" s="264">
        <v>42026</v>
      </c>
      <c r="C910" s="267">
        <v>312.5</v>
      </c>
      <c r="D910" s="267">
        <v>285.5</v>
      </c>
      <c r="E910" s="393">
        <v>248.5</v>
      </c>
      <c r="Z910" s="322">
        <v>42054</v>
      </c>
      <c r="AA910" s="324">
        <v>291</v>
      </c>
      <c r="AB910" s="323">
        <v>272.5</v>
      </c>
    </row>
    <row r="911" spans="1:28">
      <c r="A911" s="264">
        <v>42033</v>
      </c>
      <c r="B911" s="264">
        <v>42033</v>
      </c>
      <c r="C911" s="267">
        <v>302.5</v>
      </c>
      <c r="D911" s="267">
        <v>282.5</v>
      </c>
      <c r="E911" s="393">
        <v>252.5</v>
      </c>
      <c r="Z911" s="322">
        <v>42061</v>
      </c>
      <c r="AA911" s="324">
        <v>284.5</v>
      </c>
      <c r="AB911" s="323">
        <v>272.5</v>
      </c>
    </row>
    <row r="912" spans="1:28">
      <c r="A912" s="264">
        <v>42040</v>
      </c>
      <c r="B912" s="264">
        <v>42040</v>
      </c>
      <c r="C912" s="267">
        <v>302.5</v>
      </c>
      <c r="D912" s="267">
        <v>282.5</v>
      </c>
      <c r="E912" s="393">
        <v>252.5</v>
      </c>
      <c r="Z912" s="322">
        <v>42068</v>
      </c>
      <c r="AA912" s="324">
        <v>275.5</v>
      </c>
      <c r="AB912" s="323">
        <v>260</v>
      </c>
    </row>
    <row r="913" spans="1:28">
      <c r="A913" s="264">
        <v>42047</v>
      </c>
      <c r="B913" s="264">
        <v>42047</v>
      </c>
      <c r="C913" s="267">
        <v>296</v>
      </c>
      <c r="D913" s="267">
        <v>282</v>
      </c>
      <c r="E913" s="393">
        <v>257</v>
      </c>
      <c r="Z913" s="322">
        <v>42075</v>
      </c>
      <c r="AA913" s="324">
        <v>270.5</v>
      </c>
      <c r="AB913" s="323">
        <v>252.5</v>
      </c>
    </row>
    <row r="914" spans="1:28">
      <c r="A914" s="264">
        <v>42054</v>
      </c>
      <c r="B914" s="264">
        <v>42054</v>
      </c>
      <c r="C914" s="267">
        <v>291</v>
      </c>
      <c r="D914" s="267">
        <v>280</v>
      </c>
      <c r="E914" s="393">
        <v>257</v>
      </c>
      <c r="Z914" s="322">
        <v>42082</v>
      </c>
      <c r="AA914" s="324">
        <v>260.5</v>
      </c>
      <c r="AB914" s="323">
        <v>250.5</v>
      </c>
    </row>
    <row r="915" spans="1:28">
      <c r="A915" s="264">
        <v>42061</v>
      </c>
      <c r="B915" s="264">
        <v>42061</v>
      </c>
      <c r="C915" s="267">
        <v>284.5</v>
      </c>
      <c r="D915" s="267">
        <v>272.5</v>
      </c>
      <c r="E915" s="393">
        <v>257</v>
      </c>
      <c r="Z915" s="322">
        <v>42089</v>
      </c>
      <c r="AA915" s="324">
        <v>260.5</v>
      </c>
      <c r="AB915" s="323">
        <v>250.5</v>
      </c>
    </row>
    <row r="916" spans="1:28">
      <c r="A916" s="264">
        <v>42068</v>
      </c>
      <c r="B916" s="264">
        <v>42068</v>
      </c>
      <c r="C916" s="267">
        <v>275.5</v>
      </c>
      <c r="D916" s="267">
        <v>272.5</v>
      </c>
      <c r="E916" s="393">
        <v>257</v>
      </c>
      <c r="Z916" s="322">
        <v>42096</v>
      </c>
      <c r="AA916" s="324">
        <v>257.5</v>
      </c>
      <c r="AB916" s="323">
        <v>233</v>
      </c>
    </row>
    <row r="917" spans="1:28">
      <c r="A917" s="264">
        <v>42075</v>
      </c>
      <c r="B917" s="264">
        <v>42075</v>
      </c>
      <c r="C917" s="267">
        <v>270.5</v>
      </c>
      <c r="D917" s="267">
        <v>260</v>
      </c>
      <c r="E917" s="393">
        <v>257</v>
      </c>
      <c r="Z917" s="322">
        <v>42103</v>
      </c>
      <c r="AA917" s="324">
        <v>249.5</v>
      </c>
      <c r="AB917" s="323">
        <v>220</v>
      </c>
    </row>
    <row r="918" spans="1:28">
      <c r="A918" s="264">
        <v>42082</v>
      </c>
      <c r="B918" s="264">
        <v>42082</v>
      </c>
      <c r="C918" s="267">
        <v>260.5</v>
      </c>
      <c r="D918" s="267">
        <v>252.5</v>
      </c>
      <c r="E918" s="393">
        <v>250.5</v>
      </c>
      <c r="Z918" s="322">
        <v>42110</v>
      </c>
      <c r="AA918" s="324">
        <v>247.5</v>
      </c>
      <c r="AB918" s="323">
        <v>215.5</v>
      </c>
    </row>
    <row r="919" spans="1:28">
      <c r="A919" s="264">
        <v>42089</v>
      </c>
      <c r="B919" s="264">
        <v>42089</v>
      </c>
      <c r="C919" s="267">
        <v>260.5</v>
      </c>
      <c r="D919" s="267">
        <v>250.5</v>
      </c>
      <c r="E919" s="393">
        <v>249</v>
      </c>
      <c r="Z919" s="322">
        <v>42117</v>
      </c>
      <c r="AA919" s="324">
        <v>250.5</v>
      </c>
      <c r="AB919" s="323">
        <v>202.5</v>
      </c>
    </row>
    <row r="920" spans="1:28">
      <c r="A920" s="264">
        <v>42096</v>
      </c>
      <c r="B920" s="264">
        <v>42096</v>
      </c>
      <c r="C920" s="267">
        <v>257.5</v>
      </c>
      <c r="D920" s="267">
        <v>250.5</v>
      </c>
      <c r="E920" s="393">
        <v>249</v>
      </c>
      <c r="Z920" s="322">
        <v>42124</v>
      </c>
      <c r="AA920" s="324">
        <v>260</v>
      </c>
      <c r="AB920" s="323">
        <v>202.5</v>
      </c>
    </row>
    <row r="921" spans="1:28">
      <c r="A921" s="264">
        <v>42103</v>
      </c>
      <c r="B921" s="264">
        <v>42103</v>
      </c>
      <c r="C921" s="267">
        <v>249.5</v>
      </c>
      <c r="D921" s="267">
        <v>233</v>
      </c>
      <c r="E921" s="393">
        <v>245</v>
      </c>
      <c r="Z921" s="322">
        <v>42131</v>
      </c>
      <c r="AA921" s="324">
        <v>268</v>
      </c>
      <c r="AB921" s="323">
        <v>205</v>
      </c>
    </row>
    <row r="922" spans="1:28">
      <c r="A922" s="264">
        <v>42110</v>
      </c>
      <c r="B922" s="264">
        <v>42110</v>
      </c>
      <c r="C922" s="267">
        <v>247.5</v>
      </c>
      <c r="D922" s="267">
        <v>220</v>
      </c>
      <c r="E922" s="393">
        <v>245</v>
      </c>
      <c r="Z922" s="322">
        <v>42138</v>
      </c>
      <c r="AA922" s="324">
        <v>275.5</v>
      </c>
      <c r="AB922" s="323">
        <v>207.5</v>
      </c>
    </row>
    <row r="923" spans="1:28">
      <c r="A923" s="264">
        <v>42117</v>
      </c>
      <c r="B923" s="264">
        <v>42117</v>
      </c>
      <c r="C923" s="267">
        <v>250.5</v>
      </c>
      <c r="D923" s="267">
        <v>215.5</v>
      </c>
      <c r="E923" s="393">
        <v>234.5</v>
      </c>
      <c r="Z923" s="322">
        <v>42145</v>
      </c>
      <c r="AA923" s="324">
        <v>280.5</v>
      </c>
      <c r="AB923" s="323">
        <v>206.5</v>
      </c>
    </row>
    <row r="924" spans="1:28">
      <c r="A924" s="264">
        <v>42124</v>
      </c>
      <c r="B924" s="264">
        <v>42124</v>
      </c>
      <c r="C924" s="267">
        <v>260</v>
      </c>
      <c r="D924" s="267">
        <v>202.5</v>
      </c>
      <c r="E924" s="393">
        <v>228</v>
      </c>
      <c r="Z924" s="322">
        <v>42152</v>
      </c>
      <c r="AA924" s="324">
        <v>282.5</v>
      </c>
      <c r="AB924" s="323">
        <v>205.5</v>
      </c>
    </row>
    <row r="925" spans="1:28">
      <c r="A925" s="264">
        <v>42131</v>
      </c>
      <c r="B925" s="264">
        <v>42131</v>
      </c>
      <c r="C925" s="267">
        <v>268</v>
      </c>
      <c r="D925" s="267">
        <v>202.5</v>
      </c>
      <c r="E925" s="393">
        <v>228</v>
      </c>
      <c r="Z925" s="322">
        <v>42159</v>
      </c>
      <c r="AA925" s="324">
        <v>290.5</v>
      </c>
      <c r="AB925" s="323">
        <v>205.5</v>
      </c>
    </row>
    <row r="926" spans="1:28">
      <c r="A926" s="264">
        <v>42138</v>
      </c>
      <c r="B926" s="264">
        <v>42138</v>
      </c>
      <c r="C926" s="267">
        <v>275.5</v>
      </c>
      <c r="D926" s="267">
        <v>205</v>
      </c>
      <c r="E926" s="393">
        <v>212.5</v>
      </c>
      <c r="Z926" s="322">
        <v>42166</v>
      </c>
      <c r="AA926" s="324">
        <v>288</v>
      </c>
      <c r="AB926" s="323">
        <v>209</v>
      </c>
    </row>
    <row r="927" spans="1:28">
      <c r="A927" s="264">
        <v>42145</v>
      </c>
      <c r="B927" s="264">
        <v>42145</v>
      </c>
      <c r="C927" s="267">
        <v>280.5</v>
      </c>
      <c r="D927" s="267">
        <v>207.5</v>
      </c>
      <c r="E927" s="393">
        <v>202.5</v>
      </c>
      <c r="Z927" s="322">
        <v>42173</v>
      </c>
      <c r="AA927" s="324">
        <v>287.5</v>
      </c>
      <c r="AB927" s="323">
        <v>202.5</v>
      </c>
    </row>
    <row r="928" spans="1:28">
      <c r="A928" s="264">
        <v>42152</v>
      </c>
      <c r="B928" s="264">
        <v>42152</v>
      </c>
      <c r="C928" s="267">
        <v>282.5</v>
      </c>
      <c r="D928" s="267">
        <v>206.5</v>
      </c>
      <c r="E928" s="393">
        <v>191</v>
      </c>
      <c r="Z928" s="322">
        <v>42180</v>
      </c>
      <c r="AA928" s="324">
        <v>286.5</v>
      </c>
      <c r="AB928" s="323">
        <v>202.5</v>
      </c>
    </row>
    <row r="929" spans="1:28">
      <c r="A929" s="264">
        <v>42159</v>
      </c>
      <c r="B929" s="264">
        <v>42159</v>
      </c>
      <c r="C929" s="267">
        <v>290.5</v>
      </c>
      <c r="D929" s="267">
        <v>205.5</v>
      </c>
      <c r="E929" s="393">
        <v>207</v>
      </c>
      <c r="Z929" s="322">
        <v>42187</v>
      </c>
      <c r="AA929" s="324">
        <v>282.5</v>
      </c>
      <c r="AB929" s="323">
        <v>197.5</v>
      </c>
    </row>
    <row r="930" spans="1:28">
      <c r="A930" s="264">
        <v>42166</v>
      </c>
      <c r="B930" s="264">
        <v>42166</v>
      </c>
      <c r="C930" s="267">
        <v>288</v>
      </c>
      <c r="D930" s="267">
        <v>205.5</v>
      </c>
      <c r="E930" s="393">
        <v>200.5</v>
      </c>
      <c r="Z930" s="322">
        <v>42194</v>
      </c>
      <c r="AA930" s="324">
        <v>279.5</v>
      </c>
      <c r="AB930" s="323">
        <v>192.5</v>
      </c>
    </row>
    <row r="931" spans="1:28">
      <c r="A931" s="264">
        <v>42173</v>
      </c>
      <c r="B931" s="264">
        <v>42173</v>
      </c>
      <c r="C931" s="267">
        <v>287.5</v>
      </c>
      <c r="D931" s="267">
        <v>209</v>
      </c>
      <c r="E931" s="393">
        <v>180</v>
      </c>
      <c r="Z931" s="322">
        <v>42201</v>
      </c>
      <c r="AA931" s="324">
        <v>267.5</v>
      </c>
      <c r="AB931" s="323">
        <v>189.5</v>
      </c>
    </row>
    <row r="932" spans="1:28">
      <c r="A932" s="264">
        <v>42180</v>
      </c>
      <c r="B932" s="264">
        <v>42180</v>
      </c>
      <c r="C932" s="267">
        <v>286.5</v>
      </c>
      <c r="D932" s="267">
        <v>202.5</v>
      </c>
      <c r="E932" s="393">
        <v>182.5</v>
      </c>
      <c r="Z932" s="322">
        <v>42208</v>
      </c>
      <c r="AA932" s="324">
        <v>265.5</v>
      </c>
      <c r="AB932" s="323">
        <v>185.5</v>
      </c>
    </row>
    <row r="933" spans="1:28">
      <c r="A933" s="264">
        <v>42187</v>
      </c>
      <c r="B933" s="264">
        <v>42187</v>
      </c>
      <c r="C933" s="267">
        <v>282.5</v>
      </c>
      <c r="D933" s="267">
        <v>202.5</v>
      </c>
      <c r="E933" s="393">
        <v>182.5</v>
      </c>
      <c r="Z933" s="322">
        <v>42215</v>
      </c>
      <c r="AA933" s="324">
        <v>261.5</v>
      </c>
      <c r="AB933" s="323">
        <v>188</v>
      </c>
    </row>
    <row r="934" spans="1:28">
      <c r="A934" s="264">
        <v>42194</v>
      </c>
      <c r="B934" s="264">
        <v>42194</v>
      </c>
      <c r="C934" s="267">
        <v>279.5</v>
      </c>
      <c r="D934" s="267">
        <v>197.5</v>
      </c>
      <c r="E934" s="393">
        <v>182.5</v>
      </c>
      <c r="Z934" s="322">
        <v>42222</v>
      </c>
      <c r="AA934" s="324">
        <v>267.5</v>
      </c>
      <c r="AB934" s="323">
        <v>190</v>
      </c>
    </row>
    <row r="935" spans="1:28">
      <c r="A935" s="264">
        <v>42201</v>
      </c>
      <c r="B935" s="264">
        <v>42201</v>
      </c>
      <c r="C935" s="267">
        <v>267.5</v>
      </c>
      <c r="D935" s="267">
        <v>192.5</v>
      </c>
      <c r="E935" s="393">
        <v>192.5</v>
      </c>
      <c r="Z935" s="322">
        <v>42229</v>
      </c>
      <c r="AA935" s="324">
        <v>273</v>
      </c>
      <c r="AB935" s="323">
        <v>197.5</v>
      </c>
    </row>
    <row r="936" spans="1:28">
      <c r="A936" s="264">
        <v>42208</v>
      </c>
      <c r="B936" s="264">
        <v>42208</v>
      </c>
      <c r="C936" s="267">
        <v>265.5</v>
      </c>
      <c r="D936" s="267">
        <v>189.5</v>
      </c>
      <c r="E936" s="393">
        <v>192.5</v>
      </c>
      <c r="Z936" s="322">
        <v>42236</v>
      </c>
      <c r="AA936" s="324">
        <v>270.5</v>
      </c>
      <c r="AB936" s="323">
        <v>202</v>
      </c>
    </row>
    <row r="937" spans="1:28">
      <c r="A937" s="264">
        <v>42215</v>
      </c>
      <c r="B937" s="264">
        <v>42215</v>
      </c>
      <c r="C937" s="267">
        <v>261.5</v>
      </c>
      <c r="D937" s="267">
        <v>185.5</v>
      </c>
      <c r="E937" s="393">
        <v>192.5</v>
      </c>
      <c r="Z937" s="322">
        <v>42243</v>
      </c>
      <c r="AA937" s="324">
        <v>269</v>
      </c>
      <c r="AB937" s="323">
        <v>195.5</v>
      </c>
    </row>
    <row r="938" spans="1:28">
      <c r="A938" s="264">
        <v>42222</v>
      </c>
      <c r="B938" s="264">
        <v>42222</v>
      </c>
      <c r="C938" s="267">
        <v>267.5</v>
      </c>
      <c r="D938" s="267">
        <v>188</v>
      </c>
      <c r="E938" s="393">
        <v>192.5</v>
      </c>
      <c r="Z938" s="322">
        <v>42250</v>
      </c>
      <c r="AA938" s="324">
        <v>263.5</v>
      </c>
      <c r="AB938" s="323">
        <v>194.5</v>
      </c>
    </row>
    <row r="939" spans="1:28">
      <c r="A939" s="264">
        <v>42229</v>
      </c>
      <c r="B939" s="264">
        <v>42229</v>
      </c>
      <c r="C939" s="267">
        <v>273</v>
      </c>
      <c r="D939" s="267">
        <v>190</v>
      </c>
      <c r="E939" s="393">
        <v>192.5</v>
      </c>
      <c r="Z939" s="322">
        <v>42257</v>
      </c>
      <c r="AA939" s="324">
        <v>260</v>
      </c>
      <c r="AB939" s="323">
        <v>192.5</v>
      </c>
    </row>
    <row r="940" spans="1:28">
      <c r="A940" s="264">
        <v>42236</v>
      </c>
      <c r="B940" s="264">
        <v>42236</v>
      </c>
      <c r="C940" s="267">
        <v>270.5</v>
      </c>
      <c r="D940" s="267">
        <v>197.5</v>
      </c>
      <c r="E940" s="393">
        <v>187.5</v>
      </c>
      <c r="Z940" s="322">
        <v>42264</v>
      </c>
      <c r="AA940" s="324">
        <v>252.5</v>
      </c>
      <c r="AB940" s="323">
        <v>190.5</v>
      </c>
    </row>
    <row r="941" spans="1:28">
      <c r="A941" s="264">
        <v>42243</v>
      </c>
      <c r="B941" s="264">
        <v>42243</v>
      </c>
      <c r="C941" s="267">
        <v>269</v>
      </c>
      <c r="D941" s="267">
        <v>202</v>
      </c>
      <c r="E941" s="393">
        <v>187.5</v>
      </c>
      <c r="Z941" s="322">
        <v>42271</v>
      </c>
      <c r="AA941" s="324">
        <v>245</v>
      </c>
      <c r="AB941" s="323">
        <v>187.5</v>
      </c>
    </row>
    <row r="942" spans="1:28">
      <c r="A942" s="264">
        <v>42250</v>
      </c>
      <c r="B942" s="264">
        <v>42250</v>
      </c>
      <c r="C942" s="267">
        <v>263.5</v>
      </c>
      <c r="D942" s="267">
        <v>195.5</v>
      </c>
      <c r="E942" s="393">
        <v>182.5</v>
      </c>
      <c r="Z942" s="322">
        <v>42278</v>
      </c>
      <c r="AA942" s="324">
        <v>244</v>
      </c>
      <c r="AB942" s="323">
        <v>183.5</v>
      </c>
    </row>
    <row r="943" spans="1:28">
      <c r="A943" s="264">
        <v>42257</v>
      </c>
      <c r="B943" s="264">
        <v>42257</v>
      </c>
      <c r="C943" s="267">
        <v>260</v>
      </c>
      <c r="D943" s="267">
        <v>194.5</v>
      </c>
      <c r="E943" s="393">
        <v>177.5</v>
      </c>
      <c r="Z943" s="322">
        <v>42285</v>
      </c>
      <c r="AA943" s="324">
        <v>245.5</v>
      </c>
      <c r="AB943" s="323">
        <v>190</v>
      </c>
    </row>
    <row r="944" spans="1:28">
      <c r="A944" s="264">
        <v>42264</v>
      </c>
      <c r="B944" s="264">
        <v>42264</v>
      </c>
      <c r="C944" s="267">
        <v>252.5</v>
      </c>
      <c r="D944" s="267">
        <v>192.5</v>
      </c>
      <c r="E944" s="393">
        <v>180</v>
      </c>
      <c r="Z944" s="322">
        <v>42292</v>
      </c>
      <c r="AA944" s="324">
        <v>248.5</v>
      </c>
      <c r="AB944" s="323">
        <v>194.5</v>
      </c>
    </row>
    <row r="945" spans="1:28">
      <c r="A945" s="264">
        <v>42271</v>
      </c>
      <c r="B945" s="264">
        <v>42271</v>
      </c>
      <c r="C945" s="267">
        <v>245</v>
      </c>
      <c r="D945" s="267">
        <v>190.5</v>
      </c>
      <c r="E945" s="393">
        <v>179</v>
      </c>
      <c r="Z945" s="322">
        <v>42299</v>
      </c>
      <c r="AA945" s="324">
        <v>251.5</v>
      </c>
      <c r="AB945" s="323">
        <v>203.5</v>
      </c>
    </row>
    <row r="946" spans="1:28">
      <c r="A946" s="264">
        <v>42278</v>
      </c>
      <c r="B946" s="264">
        <v>42278</v>
      </c>
      <c r="C946" s="267">
        <v>244</v>
      </c>
      <c r="D946" s="267">
        <v>187.5</v>
      </c>
      <c r="E946" s="393">
        <v>175</v>
      </c>
      <c r="Z946" s="322">
        <v>42306</v>
      </c>
      <c r="AA946" s="324">
        <v>257.5</v>
      </c>
      <c r="AB946" s="323">
        <v>210</v>
      </c>
    </row>
    <row r="947" spans="1:28">
      <c r="A947" s="264">
        <v>42285</v>
      </c>
      <c r="B947" s="264">
        <v>42285</v>
      </c>
      <c r="C947" s="267">
        <v>245.5</v>
      </c>
      <c r="D947" s="267">
        <v>183.5</v>
      </c>
      <c r="E947" s="393">
        <v>175</v>
      </c>
      <c r="Z947" s="322">
        <v>42313</v>
      </c>
      <c r="AA947" s="324">
        <v>260</v>
      </c>
      <c r="AB947" s="323">
        <v>205</v>
      </c>
    </row>
    <row r="948" spans="1:28">
      <c r="A948" s="264">
        <v>42292</v>
      </c>
      <c r="B948" s="264">
        <v>42292</v>
      </c>
      <c r="C948" s="267">
        <v>248.5</v>
      </c>
      <c r="D948" s="267">
        <v>190</v>
      </c>
      <c r="E948" s="393">
        <v>181</v>
      </c>
      <c r="Z948" s="322">
        <v>42320</v>
      </c>
      <c r="AA948" s="324">
        <v>260.5</v>
      </c>
      <c r="AB948" s="323">
        <v>200</v>
      </c>
    </row>
    <row r="949" spans="1:28">
      <c r="A949" s="264">
        <v>42299</v>
      </c>
      <c r="B949" s="264">
        <v>42299</v>
      </c>
      <c r="C949" s="267">
        <v>251.5</v>
      </c>
      <c r="D949" s="267">
        <v>194.5</v>
      </c>
      <c r="E949" s="393">
        <v>178.5</v>
      </c>
      <c r="Z949" s="322">
        <v>42327</v>
      </c>
      <c r="AA949" s="324">
        <v>255.5</v>
      </c>
      <c r="AB949" s="323">
        <v>200</v>
      </c>
    </row>
    <row r="950" spans="1:28">
      <c r="A950" s="264">
        <v>42306</v>
      </c>
      <c r="B950" s="264">
        <v>42306</v>
      </c>
      <c r="C950" s="267">
        <v>257.5</v>
      </c>
      <c r="D950" s="267">
        <v>203.5</v>
      </c>
      <c r="E950" s="393">
        <v>172.5</v>
      </c>
      <c r="Z950" s="322">
        <v>42334</v>
      </c>
      <c r="AA950" s="324">
        <v>246</v>
      </c>
      <c r="AB950" s="323">
        <v>197.5</v>
      </c>
    </row>
    <row r="951" spans="1:28">
      <c r="A951" s="264">
        <v>42313</v>
      </c>
      <c r="B951" s="264">
        <v>42313</v>
      </c>
      <c r="C951" s="267">
        <v>260</v>
      </c>
      <c r="D951" s="267">
        <v>210</v>
      </c>
      <c r="E951" s="393">
        <v>171</v>
      </c>
      <c r="Z951" s="322">
        <v>42341</v>
      </c>
      <c r="AA951" s="324">
        <v>237.5</v>
      </c>
      <c r="AB951" s="323">
        <v>198</v>
      </c>
    </row>
    <row r="952" spans="1:28">
      <c r="A952" s="264">
        <v>42320</v>
      </c>
      <c r="B952" s="264">
        <v>42320</v>
      </c>
      <c r="C952" s="267">
        <v>260.5</v>
      </c>
      <c r="D952" s="267">
        <v>205</v>
      </c>
      <c r="E952" s="393">
        <v>166</v>
      </c>
      <c r="Z952" s="322">
        <v>42348</v>
      </c>
      <c r="AA952" s="324">
        <v>239</v>
      </c>
      <c r="AB952" s="323">
        <v>201.5</v>
      </c>
    </row>
    <row r="953" spans="1:28">
      <c r="A953" s="264">
        <v>42327</v>
      </c>
      <c r="B953" s="264">
        <v>42327</v>
      </c>
      <c r="C953" s="267">
        <v>255.5</v>
      </c>
      <c r="D953" s="267">
        <v>200</v>
      </c>
      <c r="E953" s="393">
        <v>166</v>
      </c>
      <c r="Z953" s="322">
        <v>42355</v>
      </c>
      <c r="AA953" s="324">
        <v>234.5</v>
      </c>
      <c r="AB953" s="323">
        <v>200.5</v>
      </c>
    </row>
    <row r="954" spans="1:28">
      <c r="A954" s="264">
        <v>42334</v>
      </c>
      <c r="B954" s="264">
        <v>42334</v>
      </c>
      <c r="C954" s="267">
        <v>246</v>
      </c>
      <c r="D954" s="267">
        <v>200</v>
      </c>
      <c r="E954" s="393">
        <v>166</v>
      </c>
      <c r="Z954" s="322">
        <v>42362</v>
      </c>
      <c r="AA954" s="324">
        <v>231.5</v>
      </c>
      <c r="AB954" s="323">
        <v>200.5</v>
      </c>
    </row>
    <row r="955" spans="1:28">
      <c r="A955" s="264">
        <v>42341</v>
      </c>
      <c r="B955" s="264">
        <v>42341</v>
      </c>
      <c r="C955" s="267">
        <v>237.5</v>
      </c>
      <c r="D955" s="267">
        <v>197.5</v>
      </c>
      <c r="E955" s="393">
        <v>166</v>
      </c>
      <c r="Z955" s="322">
        <v>42369</v>
      </c>
      <c r="AA955" s="324">
        <v>231.5</v>
      </c>
      <c r="AB955" s="323">
        <v>197.5</v>
      </c>
    </row>
    <row r="956" spans="1:28">
      <c r="A956" s="264">
        <v>42348</v>
      </c>
      <c r="B956" s="264">
        <v>42348</v>
      </c>
      <c r="C956" s="267">
        <v>239</v>
      </c>
      <c r="D956" s="267">
        <v>198</v>
      </c>
      <c r="E956" s="393">
        <v>164.5</v>
      </c>
      <c r="Z956" s="322">
        <v>42376</v>
      </c>
      <c r="AA956" s="324">
        <v>226.5</v>
      </c>
      <c r="AB956" s="323">
        <v>195</v>
      </c>
    </row>
    <row r="957" spans="1:28">
      <c r="A957" s="264">
        <v>42355</v>
      </c>
      <c r="B957" s="264">
        <v>42355</v>
      </c>
      <c r="C957" s="267">
        <v>234.5</v>
      </c>
      <c r="D957" s="267">
        <v>201.5</v>
      </c>
      <c r="E957" s="393">
        <v>158.5</v>
      </c>
      <c r="Z957" s="322">
        <v>42383</v>
      </c>
      <c r="AA957" s="324">
        <v>219.5</v>
      </c>
      <c r="AB957" s="323">
        <v>190</v>
      </c>
    </row>
    <row r="958" spans="1:28">
      <c r="A958" s="264">
        <v>42362</v>
      </c>
      <c r="B958" s="264">
        <v>42362</v>
      </c>
      <c r="C958" s="267">
        <v>231.5</v>
      </c>
      <c r="D958" s="267">
        <v>200.5</v>
      </c>
      <c r="E958" s="393">
        <v>158.5</v>
      </c>
      <c r="Z958" s="322">
        <v>42390</v>
      </c>
      <c r="AA958" s="324">
        <v>206</v>
      </c>
      <c r="AB958" s="323">
        <v>185</v>
      </c>
    </row>
    <row r="959" spans="1:28">
      <c r="A959" s="264">
        <v>42369</v>
      </c>
      <c r="B959" s="264">
        <v>42369</v>
      </c>
      <c r="C959" s="267">
        <v>231.5</v>
      </c>
      <c r="D959" s="267">
        <v>200.5</v>
      </c>
      <c r="E959" s="393">
        <v>158.5</v>
      </c>
      <c r="Z959" s="322">
        <v>42397</v>
      </c>
      <c r="AA959" s="324">
        <v>184</v>
      </c>
      <c r="AB959" s="323">
        <v>182.5</v>
      </c>
    </row>
    <row r="960" spans="1:28">
      <c r="A960" s="264">
        <v>42376</v>
      </c>
      <c r="B960" s="264">
        <v>42376</v>
      </c>
      <c r="C960" s="267">
        <v>226.5</v>
      </c>
      <c r="D960" s="267">
        <v>197.5</v>
      </c>
      <c r="E960" s="393">
        <v>158.5</v>
      </c>
      <c r="Z960" s="322">
        <v>42404</v>
      </c>
      <c r="AA960" s="324">
        <v>190.5</v>
      </c>
      <c r="AB960" s="323">
        <v>177.5</v>
      </c>
    </row>
    <row r="961" spans="1:28">
      <c r="A961" s="264">
        <v>42383</v>
      </c>
      <c r="B961" s="264">
        <v>42383</v>
      </c>
      <c r="C961" s="267">
        <v>219.5</v>
      </c>
      <c r="D961" s="267">
        <v>195</v>
      </c>
      <c r="E961" s="393">
        <v>156</v>
      </c>
      <c r="Z961" s="322">
        <v>42411</v>
      </c>
      <c r="AA961" s="324">
        <v>190.5</v>
      </c>
      <c r="AB961" s="323">
        <v>180</v>
      </c>
    </row>
    <row r="962" spans="1:28">
      <c r="A962" s="264">
        <v>42390</v>
      </c>
      <c r="B962" s="264">
        <v>42390</v>
      </c>
      <c r="C962" s="267">
        <v>206</v>
      </c>
      <c r="D962" s="267">
        <v>190</v>
      </c>
      <c r="E962" s="393">
        <v>147</v>
      </c>
      <c r="Z962" s="322">
        <v>42418</v>
      </c>
      <c r="AA962" s="324">
        <v>202.5</v>
      </c>
      <c r="AB962" s="323">
        <v>180</v>
      </c>
    </row>
    <row r="963" spans="1:28">
      <c r="A963" s="264">
        <v>42397</v>
      </c>
      <c r="B963" s="264">
        <v>42397</v>
      </c>
      <c r="C963" s="267">
        <v>184</v>
      </c>
      <c r="D963" s="267">
        <v>185</v>
      </c>
      <c r="E963" s="393">
        <v>146</v>
      </c>
      <c r="Z963" s="322">
        <v>42425</v>
      </c>
      <c r="AA963" s="324">
        <v>210.5</v>
      </c>
      <c r="AB963" s="323">
        <v>180</v>
      </c>
    </row>
    <row r="964" spans="1:28">
      <c r="A964" s="264">
        <v>42404</v>
      </c>
      <c r="B964" s="264">
        <v>42404</v>
      </c>
      <c r="C964" s="267">
        <v>190.5</v>
      </c>
      <c r="D964" s="267">
        <v>182.5</v>
      </c>
      <c r="E964" s="393">
        <v>141.5</v>
      </c>
      <c r="Z964" s="322">
        <v>42432</v>
      </c>
      <c r="AA964" s="324">
        <v>205.5</v>
      </c>
      <c r="AB964" s="323">
        <v>177.5</v>
      </c>
    </row>
    <row r="965" spans="1:28">
      <c r="A965" s="264">
        <v>42411</v>
      </c>
      <c r="B965" s="264">
        <v>42411</v>
      </c>
      <c r="C965" s="267">
        <v>190.5</v>
      </c>
      <c r="D965" s="267">
        <v>177.5</v>
      </c>
      <c r="E965" s="393">
        <v>141.5</v>
      </c>
      <c r="Z965" s="322">
        <v>42439</v>
      </c>
      <c r="AA965" s="324">
        <v>196</v>
      </c>
      <c r="AB965" s="323">
        <v>172.5</v>
      </c>
    </row>
    <row r="966" spans="1:28">
      <c r="A966" s="264">
        <v>42418</v>
      </c>
      <c r="B966" s="264">
        <v>42418</v>
      </c>
      <c r="C966" s="267">
        <v>202.5</v>
      </c>
      <c r="D966" s="267">
        <v>180</v>
      </c>
      <c r="E966" s="393">
        <v>131</v>
      </c>
      <c r="Z966" s="322">
        <v>42446</v>
      </c>
      <c r="AA966" s="324">
        <v>186.5</v>
      </c>
      <c r="AB966" s="323">
        <v>172.5</v>
      </c>
    </row>
    <row r="967" spans="1:28">
      <c r="A967" s="264">
        <v>42425</v>
      </c>
      <c r="B967" s="264">
        <v>42425</v>
      </c>
      <c r="C967" s="267">
        <v>210.5</v>
      </c>
      <c r="D967" s="267">
        <v>180</v>
      </c>
      <c r="E967" s="393">
        <v>130.5</v>
      </c>
      <c r="Z967" s="322">
        <v>42453</v>
      </c>
      <c r="AA967" s="324">
        <v>186.5</v>
      </c>
      <c r="AB967" s="323">
        <v>172.5</v>
      </c>
    </row>
    <row r="968" spans="1:28">
      <c r="A968" s="264">
        <v>42432</v>
      </c>
      <c r="B968" s="264">
        <v>42432</v>
      </c>
      <c r="C968" s="267">
        <v>205.5</v>
      </c>
      <c r="D968" s="267">
        <v>180</v>
      </c>
      <c r="E968" s="393">
        <v>127</v>
      </c>
      <c r="Z968" s="322">
        <v>42460</v>
      </c>
      <c r="AA968" s="324">
        <v>193.5</v>
      </c>
      <c r="AB968" s="323">
        <v>172.5</v>
      </c>
    </row>
    <row r="969" spans="1:28">
      <c r="A969" s="264">
        <v>42439</v>
      </c>
      <c r="B969" s="264">
        <v>42439</v>
      </c>
      <c r="C969" s="267">
        <v>196</v>
      </c>
      <c r="D969" s="267">
        <v>177.5</v>
      </c>
      <c r="E969" s="393">
        <v>133.5</v>
      </c>
      <c r="Z969" s="322">
        <v>42467</v>
      </c>
      <c r="AA969" s="324">
        <v>197.5</v>
      </c>
      <c r="AB969" s="323">
        <v>172.5</v>
      </c>
    </row>
    <row r="970" spans="1:28">
      <c r="A970" s="264">
        <v>42446</v>
      </c>
      <c r="B970" s="264">
        <v>42446</v>
      </c>
      <c r="C970" s="267">
        <v>186.5</v>
      </c>
      <c r="D970" s="267">
        <v>172.5</v>
      </c>
      <c r="E970" s="393">
        <v>151</v>
      </c>
      <c r="Z970" s="322">
        <v>42474</v>
      </c>
      <c r="AA970" s="324">
        <v>200</v>
      </c>
      <c r="AB970" s="323">
        <v>166</v>
      </c>
    </row>
    <row r="971" spans="1:28">
      <c r="A971" s="264">
        <v>42453</v>
      </c>
      <c r="B971" s="264">
        <v>42453</v>
      </c>
      <c r="C971" s="267">
        <v>186.5</v>
      </c>
      <c r="D971" s="267">
        <v>172.5</v>
      </c>
      <c r="E971" s="393">
        <v>158.5</v>
      </c>
      <c r="Z971" s="322">
        <v>42481</v>
      </c>
      <c r="AA971" s="324">
        <v>202</v>
      </c>
      <c r="AB971" s="323">
        <v>162.5</v>
      </c>
    </row>
    <row r="972" spans="1:28">
      <c r="A972" s="264">
        <v>42460</v>
      </c>
      <c r="B972" s="264">
        <v>42460</v>
      </c>
      <c r="C972" s="267">
        <v>193.5</v>
      </c>
      <c r="D972" s="267">
        <v>172.5</v>
      </c>
      <c r="E972" s="393">
        <v>171.5</v>
      </c>
      <c r="Z972" s="322">
        <v>42488</v>
      </c>
      <c r="AA972" s="324">
        <v>201.5</v>
      </c>
      <c r="AB972" s="323">
        <v>152.5</v>
      </c>
    </row>
    <row r="973" spans="1:28">
      <c r="A973" s="264">
        <v>42467</v>
      </c>
      <c r="B973" s="264">
        <v>42467</v>
      </c>
      <c r="C973" s="267">
        <v>197.5</v>
      </c>
      <c r="D973" s="267">
        <v>172.5</v>
      </c>
      <c r="E973" s="393">
        <v>181</v>
      </c>
      <c r="Z973" s="322">
        <v>42495</v>
      </c>
      <c r="AA973" s="324">
        <v>198.5</v>
      </c>
      <c r="AB973" s="323">
        <v>150.5</v>
      </c>
    </row>
    <row r="974" spans="1:28">
      <c r="A974" s="264">
        <v>42474</v>
      </c>
      <c r="B974" s="264">
        <v>42474</v>
      </c>
      <c r="C974" s="267">
        <v>200</v>
      </c>
      <c r="D974" s="267">
        <v>172.5</v>
      </c>
      <c r="E974" s="393">
        <v>184.5</v>
      </c>
      <c r="Z974" s="322">
        <v>42502</v>
      </c>
      <c r="AA974" s="324">
        <v>196.5</v>
      </c>
      <c r="AB974" s="323">
        <v>147.5</v>
      </c>
    </row>
    <row r="975" spans="1:28">
      <c r="A975" s="264">
        <v>42481</v>
      </c>
      <c r="B975" s="264">
        <v>42481</v>
      </c>
      <c r="C975" s="267">
        <v>202</v>
      </c>
      <c r="D975" s="267">
        <v>166</v>
      </c>
      <c r="E975" s="393">
        <v>183.5</v>
      </c>
      <c r="Z975" s="322">
        <v>42509</v>
      </c>
      <c r="AA975" s="324">
        <v>195.5</v>
      </c>
      <c r="AB975" s="323">
        <v>147.5</v>
      </c>
    </row>
    <row r="976" spans="1:28">
      <c r="A976" s="264">
        <v>42488</v>
      </c>
      <c r="B976" s="264">
        <v>42488</v>
      </c>
      <c r="C976" s="267">
        <v>201.5</v>
      </c>
      <c r="D976" s="267">
        <v>162.5</v>
      </c>
      <c r="E976" s="393">
        <v>183.5</v>
      </c>
      <c r="Z976" s="322">
        <v>42516</v>
      </c>
      <c r="AA976" s="324">
        <v>187.5</v>
      </c>
      <c r="AB976" s="323">
        <v>147.5</v>
      </c>
    </row>
    <row r="977" spans="1:28">
      <c r="A977" s="264">
        <v>42495</v>
      </c>
      <c r="B977" s="264">
        <v>42495</v>
      </c>
      <c r="C977" s="267">
        <v>198.5</v>
      </c>
      <c r="D977" s="267">
        <v>152.5</v>
      </c>
      <c r="E977" s="393">
        <v>173.5</v>
      </c>
      <c r="Z977" s="322">
        <v>42523</v>
      </c>
      <c r="AA977" s="324">
        <v>190.5</v>
      </c>
      <c r="AB977" s="323">
        <v>140.5</v>
      </c>
    </row>
    <row r="978" spans="1:28">
      <c r="A978" s="264">
        <v>42502</v>
      </c>
      <c r="B978" s="264">
        <v>42502</v>
      </c>
      <c r="C978" s="267">
        <v>196.5</v>
      </c>
      <c r="D978" s="267">
        <v>150.5</v>
      </c>
      <c r="E978" s="393">
        <v>173.5</v>
      </c>
      <c r="Z978" s="322">
        <v>42530</v>
      </c>
      <c r="AA978" s="324">
        <v>191</v>
      </c>
      <c r="AB978" s="323">
        <v>139.5</v>
      </c>
    </row>
    <row r="979" spans="1:28">
      <c r="A979" s="264">
        <v>42509</v>
      </c>
      <c r="B979" s="264">
        <v>42509</v>
      </c>
      <c r="C979" s="267">
        <v>195.5</v>
      </c>
      <c r="D979" s="267">
        <v>147.5</v>
      </c>
      <c r="E979" s="393">
        <v>160.5</v>
      </c>
      <c r="Z979" s="322">
        <v>42537</v>
      </c>
      <c r="AA979" s="324">
        <v>190.5</v>
      </c>
      <c r="AB979" s="323">
        <v>138.5</v>
      </c>
    </row>
    <row r="980" spans="1:28">
      <c r="A980" s="264">
        <v>42516</v>
      </c>
      <c r="B980" s="264">
        <v>42516</v>
      </c>
      <c r="C980" s="267">
        <v>187.5</v>
      </c>
      <c r="D980" s="267">
        <v>147.5</v>
      </c>
      <c r="E980" s="393">
        <v>160.5</v>
      </c>
      <c r="Z980" s="322">
        <v>42544</v>
      </c>
      <c r="AA980" s="324">
        <v>186</v>
      </c>
      <c r="AB980" s="323">
        <v>134.5</v>
      </c>
    </row>
    <row r="981" spans="1:28">
      <c r="A981" s="264">
        <v>42523</v>
      </c>
      <c r="B981" s="264">
        <v>42523</v>
      </c>
      <c r="C981" s="267">
        <v>190.5</v>
      </c>
      <c r="D981" s="267">
        <v>147.5</v>
      </c>
      <c r="E981" s="393">
        <v>174</v>
      </c>
      <c r="Z981" s="322">
        <v>42551</v>
      </c>
      <c r="AA981" s="324">
        <v>186.5</v>
      </c>
      <c r="AB981" s="323">
        <v>134.5</v>
      </c>
    </row>
    <row r="982" spans="1:28">
      <c r="A982" s="264">
        <v>42530</v>
      </c>
      <c r="B982" s="264">
        <v>42530</v>
      </c>
      <c r="C982" s="267">
        <v>191</v>
      </c>
      <c r="D982" s="267">
        <v>140.5</v>
      </c>
      <c r="E982" s="393">
        <v>123</v>
      </c>
      <c r="Z982" s="322">
        <v>42558</v>
      </c>
      <c r="AA982" s="324">
        <v>181.5</v>
      </c>
      <c r="AB982" s="323">
        <v>134.5</v>
      </c>
    </row>
    <row r="983" spans="1:28">
      <c r="A983" s="264">
        <v>42537</v>
      </c>
      <c r="B983" s="264">
        <v>42537</v>
      </c>
      <c r="C983" s="267">
        <v>190.5</v>
      </c>
      <c r="D983" s="267">
        <v>139.5</v>
      </c>
      <c r="E983" s="393">
        <v>117.5</v>
      </c>
      <c r="Z983" s="322">
        <v>42565</v>
      </c>
      <c r="AA983" s="324">
        <v>175</v>
      </c>
      <c r="AB983" s="323">
        <v>134.5</v>
      </c>
    </row>
    <row r="984" spans="1:28">
      <c r="A984" s="264">
        <v>42544</v>
      </c>
      <c r="B984" s="264">
        <v>42544</v>
      </c>
      <c r="C984" s="267">
        <v>186</v>
      </c>
      <c r="D984" s="267">
        <v>138.5</v>
      </c>
      <c r="E984" s="393">
        <v>117.5</v>
      </c>
      <c r="Z984" s="322">
        <v>42572</v>
      </c>
      <c r="AA984" s="324">
        <v>174</v>
      </c>
      <c r="AB984" s="323">
        <v>134.5</v>
      </c>
    </row>
    <row r="985" spans="1:28">
      <c r="A985" s="264">
        <v>42551</v>
      </c>
      <c r="B985" s="264">
        <v>42551</v>
      </c>
      <c r="C985" s="267">
        <v>186.5</v>
      </c>
      <c r="D985" s="267">
        <v>134.5</v>
      </c>
      <c r="E985" s="393">
        <v>117.5</v>
      </c>
      <c r="Z985" s="322">
        <v>42579</v>
      </c>
      <c r="AA985" s="324">
        <v>175.5</v>
      </c>
      <c r="AB985" s="323">
        <v>133.5</v>
      </c>
    </row>
    <row r="986" spans="1:28">
      <c r="A986" s="264">
        <v>42558</v>
      </c>
      <c r="B986" s="264">
        <v>42558</v>
      </c>
      <c r="C986" s="267">
        <v>181.5</v>
      </c>
      <c r="D986" s="267">
        <v>134.5</v>
      </c>
      <c r="E986" s="393">
        <v>117.5</v>
      </c>
      <c r="Z986" s="322">
        <v>42586</v>
      </c>
      <c r="AA986" s="324">
        <v>176.5</v>
      </c>
      <c r="AB986" s="323">
        <v>137.5</v>
      </c>
    </row>
    <row r="987" spans="1:28">
      <c r="A987" s="264">
        <v>42565</v>
      </c>
      <c r="B987" s="264">
        <v>42565</v>
      </c>
      <c r="C987" s="267">
        <v>175</v>
      </c>
      <c r="D987" s="267">
        <v>134.5</v>
      </c>
      <c r="E987" s="393">
        <v>117.5</v>
      </c>
      <c r="Z987" s="322">
        <v>42593</v>
      </c>
      <c r="AA987" s="324">
        <v>180</v>
      </c>
      <c r="AB987" s="323">
        <v>137.5</v>
      </c>
    </row>
    <row r="988" spans="1:28">
      <c r="A988" s="264">
        <v>42572</v>
      </c>
      <c r="B988" s="264">
        <v>42572</v>
      </c>
      <c r="C988" s="267">
        <v>174</v>
      </c>
      <c r="D988" s="267">
        <v>134.5</v>
      </c>
      <c r="E988" s="393">
        <v>117.5</v>
      </c>
      <c r="Z988" s="322">
        <v>42600</v>
      </c>
      <c r="AA988" s="324">
        <v>182</v>
      </c>
      <c r="AB988" s="323">
        <v>142.5</v>
      </c>
    </row>
    <row r="989" spans="1:28">
      <c r="A989" s="264">
        <v>42579</v>
      </c>
      <c r="B989" s="264">
        <v>42579</v>
      </c>
      <c r="C989" s="267">
        <v>175.5</v>
      </c>
      <c r="D989" s="267">
        <v>134.5</v>
      </c>
      <c r="E989" s="393">
        <v>120.5</v>
      </c>
      <c r="Z989" s="322">
        <v>42607</v>
      </c>
      <c r="AA989" s="324">
        <v>184</v>
      </c>
      <c r="AB989" s="323">
        <v>145.5</v>
      </c>
    </row>
    <row r="990" spans="1:28">
      <c r="A990" s="264">
        <v>42586</v>
      </c>
      <c r="B990" s="264">
        <v>42586</v>
      </c>
      <c r="C990" s="267">
        <v>176.5</v>
      </c>
      <c r="D990" s="267">
        <v>133.5</v>
      </c>
      <c r="E990" s="393">
        <v>120</v>
      </c>
      <c r="Z990" s="322">
        <v>42614</v>
      </c>
      <c r="AA990" s="324">
        <v>187</v>
      </c>
      <c r="AB990" s="323">
        <v>145.5</v>
      </c>
    </row>
    <row r="991" spans="1:28">
      <c r="A991" s="264">
        <v>42593</v>
      </c>
      <c r="B991" s="264">
        <v>42593</v>
      </c>
      <c r="C991" s="267">
        <v>180</v>
      </c>
      <c r="D991" s="267">
        <v>137.5</v>
      </c>
      <c r="E991" s="393">
        <v>124.5</v>
      </c>
      <c r="Z991" s="322">
        <v>42621</v>
      </c>
      <c r="AA991" s="324">
        <v>189</v>
      </c>
      <c r="AB991" s="323">
        <v>152</v>
      </c>
    </row>
    <row r="992" spans="1:28">
      <c r="A992" s="264">
        <v>42600</v>
      </c>
      <c r="B992" s="264">
        <v>42600</v>
      </c>
      <c r="C992" s="267">
        <v>182</v>
      </c>
      <c r="D992" s="267">
        <v>137.5</v>
      </c>
      <c r="E992" s="393">
        <v>124.5</v>
      </c>
      <c r="Z992" s="322">
        <v>42628</v>
      </c>
      <c r="AA992" s="324">
        <v>188.5</v>
      </c>
      <c r="AB992" s="323">
        <v>152.5</v>
      </c>
    </row>
    <row r="993" spans="1:28">
      <c r="A993" s="264">
        <v>42607</v>
      </c>
      <c r="B993" s="264">
        <v>42607</v>
      </c>
      <c r="C993" s="267">
        <v>184</v>
      </c>
      <c r="D993" s="267">
        <v>142.5</v>
      </c>
      <c r="E993" s="393">
        <v>131.5</v>
      </c>
      <c r="Z993" s="322">
        <v>42635</v>
      </c>
      <c r="AA993" s="324">
        <v>188.5</v>
      </c>
      <c r="AB993" s="323">
        <v>155</v>
      </c>
    </row>
    <row r="994" spans="1:28">
      <c r="A994" s="264">
        <v>42614</v>
      </c>
      <c r="B994" s="264">
        <v>42614</v>
      </c>
      <c r="C994" s="267">
        <v>187</v>
      </c>
      <c r="D994" s="267">
        <v>145.5</v>
      </c>
      <c r="E994" s="393">
        <v>130</v>
      </c>
      <c r="Z994" s="322">
        <v>42642</v>
      </c>
      <c r="AA994" s="324">
        <v>188.5</v>
      </c>
      <c r="AB994" s="323">
        <v>155</v>
      </c>
    </row>
    <row r="995" spans="1:28">
      <c r="A995" s="264">
        <v>42621</v>
      </c>
      <c r="B995" s="264">
        <v>42621</v>
      </c>
      <c r="C995" s="267">
        <v>189</v>
      </c>
      <c r="D995" s="267">
        <v>145.5</v>
      </c>
      <c r="E995" s="393">
        <v>130</v>
      </c>
      <c r="Z995" s="322">
        <v>42649</v>
      </c>
      <c r="AA995" s="324">
        <v>186.5</v>
      </c>
      <c r="AB995" s="323">
        <v>159.5</v>
      </c>
    </row>
    <row r="996" spans="1:28">
      <c r="A996" s="264">
        <v>42628</v>
      </c>
      <c r="B996" s="264">
        <v>42628</v>
      </c>
      <c r="C996" s="267">
        <v>188.5</v>
      </c>
      <c r="D996" s="267">
        <v>152</v>
      </c>
      <c r="E996" s="393">
        <v>130</v>
      </c>
      <c r="Z996" s="322">
        <v>42656</v>
      </c>
      <c r="AA996" s="324">
        <v>187</v>
      </c>
      <c r="AB996" s="323">
        <v>170.5</v>
      </c>
    </row>
    <row r="997" spans="1:28">
      <c r="A997" s="264">
        <v>42635</v>
      </c>
      <c r="B997" s="264">
        <v>42635</v>
      </c>
      <c r="C997" s="267">
        <v>188.5</v>
      </c>
      <c r="D997" s="267">
        <v>152.5</v>
      </c>
      <c r="E997" s="393">
        <v>130</v>
      </c>
      <c r="Z997" s="322">
        <v>42663</v>
      </c>
      <c r="AA997" s="324">
        <v>190.5</v>
      </c>
      <c r="AB997" s="323">
        <v>175.5</v>
      </c>
    </row>
    <row r="998" spans="1:28">
      <c r="A998" s="264">
        <v>42642</v>
      </c>
      <c r="B998" s="264">
        <v>42642</v>
      </c>
      <c r="C998" s="267">
        <v>188.5</v>
      </c>
      <c r="D998" s="267">
        <v>155</v>
      </c>
      <c r="E998" s="393">
        <v>127.5</v>
      </c>
      <c r="Z998" s="322">
        <v>42670</v>
      </c>
      <c r="AA998" s="324">
        <v>190.5</v>
      </c>
      <c r="AB998" s="323">
        <v>175.5</v>
      </c>
    </row>
    <row r="999" spans="1:28">
      <c r="A999" s="264">
        <v>42649</v>
      </c>
      <c r="B999" s="264">
        <v>42649</v>
      </c>
      <c r="C999" s="267">
        <v>186.5</v>
      </c>
      <c r="D999" s="267">
        <v>155</v>
      </c>
      <c r="E999" s="393">
        <v>127</v>
      </c>
      <c r="Z999" s="322">
        <v>42677</v>
      </c>
      <c r="AA999" s="324">
        <v>195</v>
      </c>
      <c r="AB999" s="323">
        <v>187.5</v>
      </c>
    </row>
    <row r="1000" spans="1:28">
      <c r="A1000" s="264">
        <v>42656</v>
      </c>
      <c r="B1000" s="264">
        <v>42656</v>
      </c>
      <c r="C1000" s="267">
        <v>187</v>
      </c>
      <c r="D1000" s="267">
        <v>159.5</v>
      </c>
      <c r="E1000" s="393">
        <v>124.5</v>
      </c>
      <c r="Z1000" s="322">
        <v>42684</v>
      </c>
      <c r="AA1000" s="324">
        <v>207.5</v>
      </c>
      <c r="AB1000" s="323">
        <v>187.5</v>
      </c>
    </row>
    <row r="1001" spans="1:28">
      <c r="A1001" s="264">
        <v>42663</v>
      </c>
      <c r="B1001" s="264">
        <v>42663</v>
      </c>
      <c r="C1001" s="267">
        <v>190.5</v>
      </c>
      <c r="D1001" s="267">
        <v>170.5</v>
      </c>
      <c r="E1001" s="393">
        <v>124.5</v>
      </c>
      <c r="Z1001" s="322">
        <v>42691</v>
      </c>
      <c r="AA1001" s="324">
        <v>220.5</v>
      </c>
      <c r="AB1001" s="323">
        <v>187.5</v>
      </c>
    </row>
    <row r="1002" spans="1:28">
      <c r="A1002" s="264">
        <v>42670</v>
      </c>
      <c r="B1002" s="264">
        <v>42670</v>
      </c>
      <c r="C1002" s="267">
        <v>190.5</v>
      </c>
      <c r="D1002" s="267">
        <v>175.5</v>
      </c>
      <c r="E1002" s="393">
        <v>122.5</v>
      </c>
      <c r="Z1002" s="322">
        <v>42698</v>
      </c>
      <c r="AA1002" s="324">
        <v>220</v>
      </c>
      <c r="AB1002" s="323">
        <v>177.5</v>
      </c>
    </row>
    <row r="1003" spans="1:28">
      <c r="A1003" s="264">
        <v>42677</v>
      </c>
      <c r="B1003" s="264">
        <v>42677</v>
      </c>
      <c r="C1003" s="267">
        <v>195</v>
      </c>
      <c r="D1003" s="267">
        <v>175.5</v>
      </c>
      <c r="E1003" s="393">
        <v>122.5</v>
      </c>
      <c r="Z1003" s="322">
        <v>42705</v>
      </c>
      <c r="AA1003" s="324">
        <v>207.5</v>
      </c>
      <c r="AB1003" s="323">
        <v>180.5</v>
      </c>
    </row>
    <row r="1004" spans="1:28">
      <c r="A1004" s="264">
        <v>42684</v>
      </c>
      <c r="B1004" s="264">
        <v>42684</v>
      </c>
      <c r="C1004" s="267">
        <v>207.5</v>
      </c>
      <c r="D1004" s="267">
        <v>187.5</v>
      </c>
      <c r="E1004" s="393">
        <v>125</v>
      </c>
      <c r="Z1004" s="322">
        <v>42712</v>
      </c>
      <c r="AA1004" s="324">
        <v>212.5</v>
      </c>
      <c r="AB1004" s="323">
        <v>180.5</v>
      </c>
    </row>
    <row r="1005" spans="1:28">
      <c r="A1005" s="264">
        <v>42691</v>
      </c>
      <c r="B1005" s="264">
        <v>42691</v>
      </c>
      <c r="C1005" s="267">
        <v>220.5</v>
      </c>
      <c r="D1005" s="267">
        <v>187.5</v>
      </c>
      <c r="E1005" s="393">
        <v>121.5</v>
      </c>
      <c r="Z1005" s="322">
        <v>42719</v>
      </c>
      <c r="AA1005" s="324">
        <v>214</v>
      </c>
      <c r="AB1005" s="323">
        <v>182.5</v>
      </c>
    </row>
    <row r="1006" spans="1:28">
      <c r="A1006" s="264">
        <v>42698</v>
      </c>
      <c r="B1006" s="264">
        <v>42698</v>
      </c>
      <c r="C1006" s="267">
        <v>220</v>
      </c>
      <c r="D1006" s="267">
        <v>187.5</v>
      </c>
      <c r="E1006" s="393">
        <v>127.5</v>
      </c>
      <c r="Z1006" s="322">
        <v>42726</v>
      </c>
      <c r="AA1006" s="324">
        <v>220.5</v>
      </c>
      <c r="AB1006" s="323">
        <v>182.5</v>
      </c>
    </row>
    <row r="1007" spans="1:28">
      <c r="A1007" s="264">
        <v>42705</v>
      </c>
      <c r="B1007" s="264">
        <v>42705</v>
      </c>
      <c r="C1007" s="267">
        <v>207.5</v>
      </c>
      <c r="D1007" s="267">
        <v>177.5</v>
      </c>
      <c r="E1007" s="393">
        <v>129</v>
      </c>
      <c r="Z1007" s="322">
        <v>42740</v>
      </c>
      <c r="AA1007" s="324">
        <v>221.5</v>
      </c>
      <c r="AB1007" s="323">
        <v>190</v>
      </c>
    </row>
    <row r="1008" spans="1:28">
      <c r="A1008" s="264">
        <v>42712</v>
      </c>
      <c r="B1008" s="264">
        <v>42712</v>
      </c>
      <c r="C1008" s="267">
        <v>212.5</v>
      </c>
      <c r="D1008" s="267">
        <v>180.5</v>
      </c>
      <c r="E1008" s="393">
        <v>135.5</v>
      </c>
      <c r="Z1008" s="322">
        <v>42747</v>
      </c>
      <c r="AA1008" s="324">
        <v>230.5</v>
      </c>
      <c r="AB1008" s="323">
        <v>192.5</v>
      </c>
    </row>
    <row r="1009" spans="1:28">
      <c r="A1009" s="264">
        <v>42719</v>
      </c>
      <c r="B1009" s="264">
        <v>42719</v>
      </c>
      <c r="C1009" s="267">
        <v>214</v>
      </c>
      <c r="D1009" s="267">
        <v>180.5</v>
      </c>
      <c r="E1009" s="393">
        <v>137.5</v>
      </c>
      <c r="Z1009" s="322">
        <v>42754</v>
      </c>
      <c r="AA1009" s="324">
        <v>246.5</v>
      </c>
      <c r="AB1009" s="323">
        <v>200.5</v>
      </c>
    </row>
    <row r="1010" spans="1:28">
      <c r="A1010" s="264">
        <v>42726</v>
      </c>
      <c r="B1010" s="264">
        <v>42726</v>
      </c>
      <c r="C1010" s="267">
        <v>220.5</v>
      </c>
      <c r="D1010" s="267">
        <v>182.5</v>
      </c>
      <c r="E1010" s="393">
        <v>141</v>
      </c>
      <c r="Z1010" s="322">
        <v>42761</v>
      </c>
      <c r="AA1010" s="324">
        <v>247.5</v>
      </c>
      <c r="AB1010" s="323">
        <v>202.5</v>
      </c>
    </row>
    <row r="1011" spans="1:28">
      <c r="A1011" s="264">
        <v>42740</v>
      </c>
      <c r="B1011" s="264">
        <v>42740</v>
      </c>
      <c r="C1011" s="267">
        <v>221.5</v>
      </c>
      <c r="D1011" s="267">
        <v>182.5</v>
      </c>
      <c r="E1011" s="393">
        <v>142</v>
      </c>
      <c r="Z1011" s="322">
        <v>42768</v>
      </c>
      <c r="AA1011" s="324">
        <v>250</v>
      </c>
      <c r="AB1011" s="323">
        <v>205</v>
      </c>
    </row>
    <row r="1012" spans="1:28">
      <c r="A1012" s="264">
        <v>42747</v>
      </c>
      <c r="B1012" s="264">
        <v>42747</v>
      </c>
      <c r="C1012" s="267">
        <v>230.5</v>
      </c>
      <c r="D1012" s="267">
        <v>190</v>
      </c>
      <c r="E1012" s="393">
        <v>144</v>
      </c>
    </row>
    <row r="1013" spans="1:28">
      <c r="A1013" s="264">
        <v>42754</v>
      </c>
      <c r="B1013" s="264">
        <v>42754</v>
      </c>
      <c r="C1013" s="267">
        <v>246.5</v>
      </c>
      <c r="D1013" s="267">
        <v>192.5</v>
      </c>
      <c r="E1013" s="393">
        <v>149</v>
      </c>
    </row>
    <row r="1014" spans="1:28">
      <c r="A1014" s="264">
        <v>42761</v>
      </c>
      <c r="B1014" s="264">
        <v>42761</v>
      </c>
      <c r="C1014" s="267">
        <v>247.5</v>
      </c>
      <c r="D1014" s="267">
        <v>200.5</v>
      </c>
      <c r="E1014" s="393">
        <v>147.5</v>
      </c>
    </row>
    <row r="1015" spans="1:28">
      <c r="A1015" s="264">
        <v>42768</v>
      </c>
      <c r="B1015" s="264">
        <v>42768</v>
      </c>
      <c r="C1015" s="267">
        <v>250</v>
      </c>
      <c r="D1015" s="267">
        <v>202.5</v>
      </c>
      <c r="E1015" s="393">
        <v>151.5</v>
      </c>
    </row>
    <row r="1016" spans="1:28">
      <c r="A1016" s="264">
        <v>42775</v>
      </c>
      <c r="B1016" s="264">
        <v>42775</v>
      </c>
      <c r="C1016" s="267">
        <v>250</v>
      </c>
      <c r="D1016" s="267">
        <v>202.5</v>
      </c>
      <c r="E1016" s="393">
        <v>151.5</v>
      </c>
    </row>
    <row r="1017" spans="1:28">
      <c r="A1017" s="264">
        <v>42782</v>
      </c>
      <c r="B1017" s="264">
        <v>42782</v>
      </c>
      <c r="C1017" s="267">
        <v>250</v>
      </c>
      <c r="D1017" s="267">
        <v>202.5</v>
      </c>
      <c r="E1017" s="393">
        <v>151.5</v>
      </c>
    </row>
    <row r="1018" spans="1:28">
      <c r="A1018" s="264">
        <v>42789</v>
      </c>
      <c r="B1018" s="264">
        <v>42789</v>
      </c>
      <c r="C1018" s="267">
        <v>245</v>
      </c>
      <c r="D1018" s="267">
        <v>197.5</v>
      </c>
      <c r="E1018" s="393">
        <v>150</v>
      </c>
    </row>
    <row r="1019" spans="1:28">
      <c r="A1019" s="264">
        <v>42796</v>
      </c>
      <c r="B1019" s="264">
        <v>42796</v>
      </c>
      <c r="C1019" s="267">
        <v>242.5</v>
      </c>
      <c r="D1019" s="267">
        <v>195.5</v>
      </c>
      <c r="E1019" s="393">
        <v>167.5</v>
      </c>
    </row>
    <row r="1020" spans="1:28">
      <c r="A1020" s="264">
        <v>42803</v>
      </c>
      <c r="B1020" s="264">
        <v>42803</v>
      </c>
      <c r="C1020" s="267">
        <v>239</v>
      </c>
      <c r="D1020" s="267">
        <v>194</v>
      </c>
      <c r="E1020" s="393">
        <v>165.5</v>
      </c>
    </row>
    <row r="1021" spans="1:28">
      <c r="A1021" s="264">
        <v>42810</v>
      </c>
      <c r="B1021" s="264">
        <v>42810</v>
      </c>
      <c r="C1021" s="267">
        <v>232</v>
      </c>
      <c r="D1021" s="267">
        <v>192.5</v>
      </c>
      <c r="E1021" s="393">
        <v>171.5</v>
      </c>
    </row>
    <row r="1022" spans="1:28">
      <c r="A1022" s="264">
        <v>42817</v>
      </c>
      <c r="B1022" s="264">
        <v>42817</v>
      </c>
      <c r="C1022" s="267">
        <v>230.5</v>
      </c>
      <c r="D1022" s="267">
        <v>192.5</v>
      </c>
      <c r="E1022" s="393">
        <v>157</v>
      </c>
    </row>
    <row r="1023" spans="1:28">
      <c r="A1023" s="264">
        <v>42824</v>
      </c>
      <c r="B1023" s="264">
        <v>42824</v>
      </c>
      <c r="C1023" s="267">
        <v>204</v>
      </c>
      <c r="D1023" s="267">
        <v>192.5</v>
      </c>
      <c r="E1023" s="393">
        <v>157</v>
      </c>
    </row>
    <row r="1024" spans="1:28">
      <c r="A1024" s="264">
        <v>42831</v>
      </c>
      <c r="B1024" s="264">
        <v>42831</v>
      </c>
      <c r="C1024" s="267">
        <v>208</v>
      </c>
      <c r="D1024" s="267">
        <v>182.5</v>
      </c>
    </row>
    <row r="1025" spans="1:4">
      <c r="A1025" s="264">
        <v>42838</v>
      </c>
      <c r="B1025" s="264">
        <v>42838</v>
      </c>
      <c r="C1025" s="267">
        <v>211</v>
      </c>
      <c r="D1025" s="267">
        <v>177</v>
      </c>
    </row>
    <row r="1026" spans="1:4">
      <c r="A1026" s="264">
        <v>42845</v>
      </c>
      <c r="B1026" s="264">
        <v>42845</v>
      </c>
      <c r="C1026" s="267">
        <v>208</v>
      </c>
      <c r="D1026" s="267">
        <v>177</v>
      </c>
    </row>
    <row r="1027" spans="1:4">
      <c r="A1027" s="264">
        <v>42852</v>
      </c>
      <c r="B1027" s="264">
        <v>42852</v>
      </c>
      <c r="C1027" s="267">
        <v>202.5</v>
      </c>
      <c r="D1027" s="267">
        <v>177</v>
      </c>
    </row>
    <row r="1028" spans="1:4">
      <c r="A1028" s="264">
        <v>42859</v>
      </c>
      <c r="B1028" s="264">
        <v>42859</v>
      </c>
      <c r="C1028" s="267">
        <v>183.5</v>
      </c>
      <c r="D1028" s="267">
        <v>165.5</v>
      </c>
    </row>
    <row r="1029" spans="1:4">
      <c r="A1029" s="264">
        <v>42866</v>
      </c>
      <c r="B1029" s="264">
        <v>42866</v>
      </c>
      <c r="C1029" s="267">
        <v>179</v>
      </c>
      <c r="D1029" s="267">
        <v>162.5</v>
      </c>
    </row>
    <row r="1030" spans="1:4">
      <c r="A1030" s="264">
        <v>42873</v>
      </c>
      <c r="B1030" s="264">
        <v>42873</v>
      </c>
      <c r="C1030" s="267">
        <v>180.5</v>
      </c>
      <c r="D1030" s="267">
        <v>163</v>
      </c>
    </row>
    <row r="1031" spans="1:4">
      <c r="A1031" s="264">
        <v>42880</v>
      </c>
      <c r="B1031" s="264">
        <v>42880</v>
      </c>
      <c r="C1031" s="267">
        <v>186.5</v>
      </c>
      <c r="D1031" s="267">
        <v>163</v>
      </c>
    </row>
    <row r="1032" spans="1:4">
      <c r="A1032" s="264">
        <v>42887</v>
      </c>
      <c r="B1032" s="264">
        <v>42887</v>
      </c>
      <c r="C1032" s="267">
        <v>187</v>
      </c>
      <c r="D1032" s="267">
        <v>157.5</v>
      </c>
    </row>
    <row r="1033" spans="1:4">
      <c r="A1033" s="264">
        <v>42894</v>
      </c>
      <c r="B1033" s="264">
        <v>42894</v>
      </c>
      <c r="C1033" s="267">
        <v>188.5</v>
      </c>
      <c r="D1033" s="267">
        <v>155.5</v>
      </c>
    </row>
  </sheetData>
  <hyperlinks>
    <hyperlink ref="P127"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D1033"/>
  <sheetViews>
    <sheetView showGridLines="0" zoomScale="90" zoomScaleNormal="90" workbookViewId="0">
      <pane xSplit="1" ySplit="8" topLeftCell="B37" activePane="bottomRight" state="frozen"/>
      <selection pane="topRight" activeCell="B1" sqref="B1"/>
      <selection pane="bottomLeft" activeCell="A9" sqref="A9"/>
      <selection pane="bottomRight" activeCell="K40" sqref="K40"/>
    </sheetView>
  </sheetViews>
  <sheetFormatPr defaultRowHeight="15" outlineLevelRow="2"/>
  <cols>
    <col min="1" max="1" width="49.85546875" style="1" customWidth="1"/>
    <col min="2" max="2" width="9.7109375" style="1" customWidth="1"/>
    <col min="3" max="6" width="11.42578125" style="261" customWidth="1"/>
    <col min="7" max="15" width="11.42578125" style="1" customWidth="1"/>
    <col min="16" max="16" width="72" style="1" customWidth="1"/>
    <col min="17" max="17" width="11.140625" style="1" customWidth="1"/>
    <col min="18" max="19" width="11.140625" style="303" customWidth="1"/>
    <col min="20" max="20" width="12.5703125" style="303" customWidth="1"/>
    <col min="21" max="21" width="12.5703125" style="1" customWidth="1"/>
    <col min="22" max="22" width="16.28515625" style="1" customWidth="1"/>
    <col min="23" max="23" width="15.85546875" style="1" customWidth="1"/>
    <col min="24" max="24" width="13.5703125" style="1" customWidth="1"/>
    <col min="25" max="25" width="9.140625" style="1"/>
    <col min="26" max="26" width="12.7109375" style="1" bestFit="1" customWidth="1"/>
    <col min="27" max="27" width="9.28515625" style="1" bestFit="1" customWidth="1"/>
    <col min="28" max="28" width="19.28515625" style="1" customWidth="1"/>
    <col min="29" max="16384" width="9.140625" style="1"/>
  </cols>
  <sheetData>
    <row r="1" spans="1:29" ht="30.75" customHeight="1">
      <c r="A1" s="147" t="s">
        <v>201</v>
      </c>
      <c r="B1" s="148">
        <v>2009</v>
      </c>
      <c r="C1" s="148">
        <v>2010</v>
      </c>
      <c r="D1" s="148">
        <v>2011</v>
      </c>
      <c r="E1" s="148">
        <v>2012</v>
      </c>
      <c r="F1" s="148">
        <v>2013</v>
      </c>
      <c r="G1" s="148">
        <v>2014</v>
      </c>
      <c r="H1" s="148">
        <v>2015</v>
      </c>
      <c r="I1" s="148">
        <v>2016</v>
      </c>
      <c r="J1" s="148">
        <v>2017</v>
      </c>
      <c r="K1" s="149">
        <f>J1+1</f>
        <v>2018</v>
      </c>
      <c r="L1" s="149">
        <f t="shared" ref="L1:O1" si="0">K1+1</f>
        <v>2019</v>
      </c>
      <c r="M1" s="149">
        <f t="shared" si="0"/>
        <v>2020</v>
      </c>
      <c r="N1" s="149">
        <f t="shared" si="0"/>
        <v>2021</v>
      </c>
      <c r="O1" s="149">
        <f t="shared" si="0"/>
        <v>2022</v>
      </c>
      <c r="P1" s="150" t="s">
        <v>99</v>
      </c>
      <c r="R1" s="396"/>
      <c r="S1" s="396"/>
      <c r="T1" s="396">
        <v>42915</v>
      </c>
      <c r="U1" s="396">
        <v>42948</v>
      </c>
      <c r="V1" s="151"/>
      <c r="W1" s="151"/>
      <c r="X1" s="151"/>
      <c r="Y1" s="151"/>
      <c r="Z1" s="151"/>
      <c r="AA1" s="151"/>
      <c r="AB1" s="151"/>
      <c r="AC1" s="151"/>
    </row>
    <row r="2" spans="1:29" ht="15.75" hidden="1">
      <c r="A2" s="152" t="s">
        <v>100</v>
      </c>
      <c r="B2" s="152"/>
      <c r="C2" s="153"/>
      <c r="D2" s="153"/>
      <c r="E2" s="153"/>
      <c r="F2" s="154">
        <f ca="1">TODAY()</f>
        <v>43187</v>
      </c>
      <c r="G2" s="154">
        <v>42004</v>
      </c>
      <c r="H2" s="154">
        <v>42369</v>
      </c>
      <c r="I2" s="154">
        <v>42735</v>
      </c>
      <c r="J2" s="154">
        <v>43100</v>
      </c>
      <c r="K2" s="155">
        <v>43465</v>
      </c>
      <c r="L2" s="155">
        <v>43465</v>
      </c>
      <c r="M2" s="155">
        <v>43465</v>
      </c>
      <c r="N2" s="155">
        <v>43465</v>
      </c>
      <c r="O2" s="418"/>
      <c r="P2" s="156"/>
      <c r="R2" s="172"/>
      <c r="S2" s="172"/>
      <c r="T2" s="172"/>
      <c r="U2" s="151"/>
      <c r="V2" s="151"/>
      <c r="W2" s="151"/>
      <c r="X2" s="151"/>
      <c r="Y2" s="151"/>
      <c r="Z2" s="151"/>
      <c r="AA2" s="151"/>
      <c r="AB2" s="151"/>
      <c r="AC2" s="151"/>
    </row>
    <row r="3" spans="1:29" ht="15.75" hidden="1">
      <c r="A3" s="157" t="s">
        <v>101</v>
      </c>
      <c r="B3" s="157"/>
      <c r="C3" s="158"/>
      <c r="D3" s="158"/>
      <c r="E3" s="158"/>
      <c r="F3" s="159">
        <v>41912</v>
      </c>
      <c r="G3" s="159">
        <v>42277</v>
      </c>
      <c r="H3" s="159">
        <v>42643</v>
      </c>
      <c r="I3" s="159">
        <v>43008</v>
      </c>
      <c r="J3" s="159">
        <v>43373</v>
      </c>
      <c r="K3" s="160"/>
      <c r="L3" s="160"/>
      <c r="M3" s="160"/>
      <c r="N3" s="160"/>
      <c r="O3" s="418"/>
      <c r="P3" s="156"/>
      <c r="R3" s="172"/>
      <c r="S3" s="172"/>
      <c r="T3" s="172"/>
      <c r="U3" s="151"/>
      <c r="V3" s="151"/>
      <c r="W3" s="151"/>
      <c r="X3" s="151"/>
      <c r="Y3" s="151"/>
      <c r="Z3" s="151"/>
      <c r="AA3" s="151"/>
      <c r="AB3" s="151"/>
      <c r="AC3" s="151"/>
    </row>
    <row r="4" spans="1:29" ht="15.75">
      <c r="A4" s="161" t="s">
        <v>102</v>
      </c>
      <c r="B4" s="161"/>
      <c r="C4" s="162">
        <f>C5*C6</f>
        <v>1573.8792885375494</v>
      </c>
      <c r="D4" s="162">
        <f t="shared" ref="D4:J4" si="1">D5*D6</f>
        <v>2089.1710476190478</v>
      </c>
      <c r="E4" s="162">
        <f t="shared" si="1"/>
        <v>2009.5634162830379</v>
      </c>
      <c r="F4" s="162">
        <f t="shared" si="1"/>
        <v>1677.0988743535138</v>
      </c>
      <c r="G4" s="162">
        <f t="shared" si="1"/>
        <v>1824.03</v>
      </c>
      <c r="H4" s="162">
        <f t="shared" si="1"/>
        <v>1884.4754385964911</v>
      </c>
      <c r="I4" s="162">
        <f t="shared" si="1"/>
        <v>2336.31931248</v>
      </c>
      <c r="J4" s="162">
        <f t="shared" si="1"/>
        <v>2710.8324249919347</v>
      </c>
      <c r="K4" s="163">
        <f>K5*K6</f>
        <v>2818.2469689655172</v>
      </c>
      <c r="L4" s="163">
        <f t="shared" ref="L4:O4" si="2">L5*L6</f>
        <v>2818.2469689655172</v>
      </c>
      <c r="M4" s="163">
        <f t="shared" si="2"/>
        <v>2818.2469689655172</v>
      </c>
      <c r="N4" s="163">
        <f t="shared" si="2"/>
        <v>2818.2469689655172</v>
      </c>
      <c r="O4" s="163">
        <f t="shared" si="2"/>
        <v>2818.2469689655172</v>
      </c>
      <c r="P4" s="164"/>
      <c r="R4" s="172"/>
      <c r="S4" s="172"/>
      <c r="T4" s="172"/>
      <c r="U4" s="151"/>
      <c r="V4" s="151"/>
      <c r="W4" s="151"/>
      <c r="X4" s="151"/>
      <c r="Y4" s="151"/>
      <c r="Z4" s="151"/>
      <c r="AA4" s="151"/>
      <c r="AB4" s="151"/>
      <c r="AC4" s="151"/>
    </row>
    <row r="5" spans="1:29" ht="15.75">
      <c r="A5" s="165" t="s">
        <v>103</v>
      </c>
      <c r="B5" s="165"/>
      <c r="C5" s="166">
        <v>47.687600000000003</v>
      </c>
      <c r="D5" s="166">
        <v>47.687600000000003</v>
      </c>
      <c r="E5" s="166">
        <v>47.687600000000003</v>
      </c>
      <c r="F5" s="166">
        <v>40.533999999999999</v>
      </c>
      <c r="G5" s="166">
        <f>F5</f>
        <v>40.533999999999999</v>
      </c>
      <c r="H5" s="166">
        <f>G5</f>
        <v>40.533999999999999</v>
      </c>
      <c r="I5" s="166">
        <f>H5-0.726208</f>
        <v>39.807791999999999</v>
      </c>
      <c r="J5" s="166">
        <f>I5-0.420244</f>
        <v>39.387548000000002</v>
      </c>
      <c r="K5" s="167">
        <f>J5</f>
        <v>39.387548000000002</v>
      </c>
      <c r="L5" s="167">
        <f t="shared" ref="L5:O6" si="3">K5</f>
        <v>39.387548000000002</v>
      </c>
      <c r="M5" s="167">
        <f t="shared" si="3"/>
        <v>39.387548000000002</v>
      </c>
      <c r="N5" s="167">
        <f t="shared" si="3"/>
        <v>39.387548000000002</v>
      </c>
      <c r="O5" s="167">
        <f t="shared" si="3"/>
        <v>39.387548000000002</v>
      </c>
      <c r="P5" s="388">
        <f>J5-35.533052</f>
        <v>3.8544960000000046</v>
      </c>
      <c r="R5" s="172"/>
      <c r="S5" s="172"/>
      <c r="T5" s="172"/>
      <c r="U5" s="151"/>
      <c r="V5" s="151"/>
      <c r="W5" s="151"/>
      <c r="X5" s="151"/>
      <c r="Y5" s="151"/>
      <c r="Z5" s="151"/>
      <c r="AA5" s="151"/>
      <c r="AB5" s="151"/>
      <c r="AC5" s="151"/>
    </row>
    <row r="6" spans="1:29" ht="15.75">
      <c r="A6" s="157" t="s">
        <v>104</v>
      </c>
      <c r="B6" s="157"/>
      <c r="C6" s="168">
        <f>1002/C7</f>
        <v>33.003952569169961</v>
      </c>
      <c r="D6" s="168">
        <f>1288/D7</f>
        <v>43.80952380952381</v>
      </c>
      <c r="E6" s="168">
        <f>1309/E7</f>
        <v>42.14016675787915</v>
      </c>
      <c r="F6" s="168">
        <f>1360/F8</f>
        <v>41.375114085792518</v>
      </c>
      <c r="G6" s="168">
        <f>2250/50</f>
        <v>45</v>
      </c>
      <c r="H6" s="168">
        <f>2650/57</f>
        <v>46.491228070175438</v>
      </c>
      <c r="I6" s="168">
        <v>58.69</v>
      </c>
      <c r="J6" s="168">
        <f>4000/J7</f>
        <v>68.824604796214643</v>
      </c>
      <c r="K6" s="169">
        <f>4150/58</f>
        <v>71.551724137931032</v>
      </c>
      <c r="L6" s="169">
        <f t="shared" si="3"/>
        <v>71.551724137931032</v>
      </c>
      <c r="M6" s="169">
        <f t="shared" si="3"/>
        <v>71.551724137931032</v>
      </c>
      <c r="N6" s="169">
        <f t="shared" si="3"/>
        <v>71.551724137931032</v>
      </c>
      <c r="O6" s="169">
        <f t="shared" si="3"/>
        <v>71.551724137931032</v>
      </c>
      <c r="P6" s="164"/>
      <c r="R6" s="172"/>
      <c r="S6" s="172"/>
      <c r="T6" s="172"/>
      <c r="U6" s="151"/>
      <c r="V6" s="151"/>
      <c r="W6" s="151"/>
      <c r="X6" s="151"/>
      <c r="Y6" s="151"/>
      <c r="Z6" s="151"/>
      <c r="AA6" s="151"/>
      <c r="AB6" s="151"/>
      <c r="AC6" s="151"/>
    </row>
    <row r="7" spans="1:29" ht="15.75">
      <c r="A7" s="170" t="s">
        <v>105</v>
      </c>
      <c r="B7" s="170"/>
      <c r="C7" s="171">
        <f>[7]Macro!G$15</f>
        <v>30.36</v>
      </c>
      <c r="D7" s="171">
        <f>[7]Macro!H$15</f>
        <v>29.4</v>
      </c>
      <c r="E7" s="171">
        <f>[7]Macro!I$15</f>
        <v>31.062999999999999</v>
      </c>
      <c r="F7" s="171">
        <f>[7]Macro!J$15</f>
        <v>31.864000000000001</v>
      </c>
      <c r="G7" s="171">
        <f>[7]Macro!K$15</f>
        <v>38.630000000000003</v>
      </c>
      <c r="H7" s="171">
        <f>[7]Macro!L$15</f>
        <v>61.252000000000002</v>
      </c>
      <c r="I7" s="171">
        <f>[7]Macro!M$15</f>
        <v>66.983249999999998</v>
      </c>
      <c r="J7" s="171">
        <f>[7]Macro!N$15</f>
        <v>58.118750000000006</v>
      </c>
      <c r="K7" s="271">
        <f>J7</f>
        <v>58.118750000000006</v>
      </c>
      <c r="L7" s="271">
        <f>[7]Macro!P$15</f>
        <v>60.02638161214994</v>
      </c>
      <c r="M7" s="271">
        <f>[7]Macro!Q$15</f>
        <v>61.845390946113277</v>
      </c>
      <c r="N7" s="271">
        <f>[7]Macro!R$15</f>
        <v>63.541824800726452</v>
      </c>
      <c r="O7" s="271">
        <f>[7]Macro!S$15</f>
        <v>65.099222467410925</v>
      </c>
      <c r="P7" s="164"/>
      <c r="Q7" s="1">
        <v>58.01</v>
      </c>
      <c r="R7" s="172"/>
      <c r="S7" s="172"/>
      <c r="T7" s="172"/>
      <c r="U7" s="172"/>
      <c r="V7" s="172"/>
      <c r="W7" s="172"/>
      <c r="X7" s="172"/>
      <c r="Y7" s="172"/>
      <c r="Z7" s="151"/>
      <c r="AA7" s="151"/>
      <c r="AB7" s="151"/>
      <c r="AC7" s="151"/>
    </row>
    <row r="8" spans="1:29" ht="15.75">
      <c r="A8" s="170" t="s">
        <v>106</v>
      </c>
      <c r="B8" s="170"/>
      <c r="C8" s="171">
        <f>[7]Macro!G$11</f>
        <v>30.535</v>
      </c>
      <c r="D8" s="171">
        <f>[7]Macro!H$11</f>
        <v>32.14</v>
      </c>
      <c r="E8" s="171">
        <f>[7]Macro!I$11</f>
        <v>30.367999999999999</v>
      </c>
      <c r="F8" s="171">
        <f>[7]Macro!J$11</f>
        <v>32.869999999999997</v>
      </c>
      <c r="G8" s="171">
        <f>[7]Macro!K$11</f>
        <v>56.258000000000003</v>
      </c>
      <c r="H8" s="171">
        <f>[7]Macro!L$11</f>
        <v>72.8827</v>
      </c>
      <c r="I8" s="171">
        <f>[7]Macro!M$11</f>
        <v>60.273000000000003</v>
      </c>
      <c r="J8" s="171">
        <f>[7]Macro!N$11</f>
        <v>57.6</v>
      </c>
      <c r="K8" s="271">
        <f>J8</f>
        <v>57.6</v>
      </c>
      <c r="L8" s="271">
        <f>[7]Macro!P$11</f>
        <v>60.935886279131608</v>
      </c>
      <c r="M8" s="271">
        <f>[7]Macro!Q$11</f>
        <v>62.693607873419865</v>
      </c>
      <c r="N8" s="271">
        <f>[7]Macro!R$11</f>
        <v>64.320523634068692</v>
      </c>
      <c r="O8" s="271">
        <f>[7]Macro!S$11</f>
        <v>65.897007056472333</v>
      </c>
      <c r="P8" s="164"/>
      <c r="R8" s="172"/>
      <c r="S8" s="172"/>
      <c r="T8" s="172"/>
      <c r="U8" s="172"/>
      <c r="V8" s="172"/>
      <c r="W8" s="172"/>
      <c r="X8" s="172"/>
      <c r="Y8" s="172"/>
      <c r="Z8" s="151"/>
      <c r="AA8" s="151"/>
      <c r="AB8" s="151"/>
      <c r="AC8" s="151"/>
    </row>
    <row r="9" spans="1:29" ht="15.75">
      <c r="A9" s="173" t="s">
        <v>1</v>
      </c>
      <c r="B9" s="173"/>
      <c r="C9" s="174">
        <f>(46738-1544-700)/C7</f>
        <v>1465.5467720685112</v>
      </c>
      <c r="D9" s="174">
        <f>(65431-1011-1268)/D7</f>
        <v>2148.0272108843537</v>
      </c>
      <c r="E9" s="174">
        <f>(71112-929-974)/E7</f>
        <v>2228.0204745195251</v>
      </c>
      <c r="F9" s="174">
        <f>(67904-990-975)/F7</f>
        <v>2069.3886517700225</v>
      </c>
      <c r="G9" s="174">
        <f>(74631-1442-1711)/G7</f>
        <v>1850.3235827077399</v>
      </c>
      <c r="H9" s="174">
        <f>(106055-2497-1905)/H7</f>
        <v>1659.5866257428329</v>
      </c>
      <c r="I9" s="174">
        <f>(89359-2427-1368)/I7</f>
        <v>1277.3939753595116</v>
      </c>
      <c r="J9" s="174">
        <f>(94342-2747-1553)/J7</f>
        <v>1549.2762662651896</v>
      </c>
      <c r="K9" s="175">
        <f t="shared" ref="K9:M9" si="4">K15+K20+K37+K51+K53+K56</f>
        <v>1540.3458290491649</v>
      </c>
      <c r="L9" s="175">
        <f t="shared" si="4"/>
        <v>1709.1214473286377</v>
      </c>
      <c r="M9" s="175">
        <f t="shared" si="4"/>
        <v>1874.7530715338635</v>
      </c>
      <c r="N9" s="175">
        <f>N15+N20+N37+N51+N53+N56</f>
        <v>2110.052969996676</v>
      </c>
      <c r="O9" s="175">
        <f>O15+O20+O37+O51+O53+O56</f>
        <v>2141.2861831772148</v>
      </c>
      <c r="P9" s="164" t="s">
        <v>107</v>
      </c>
      <c r="R9" s="172"/>
      <c r="S9" s="172"/>
      <c r="T9" s="172"/>
      <c r="Z9" s="151"/>
      <c r="AA9" s="151"/>
      <c r="AB9" s="151"/>
      <c r="AC9" s="151"/>
    </row>
    <row r="10" spans="1:29" ht="15.75">
      <c r="A10" s="176" t="s">
        <v>108</v>
      </c>
      <c r="B10" s="176"/>
      <c r="C10" s="177"/>
      <c r="D10" s="178">
        <f t="shared" ref="D10:L10" si="5">D9/C9-1</f>
        <v>0.46568315104169056</v>
      </c>
      <c r="E10" s="178">
        <f t="shared" si="5"/>
        <v>3.7240339987237858E-2</v>
      </c>
      <c r="F10" s="178">
        <f t="shared" si="5"/>
        <v>-7.1198548022190722E-2</v>
      </c>
      <c r="G10" s="178">
        <f>G9/F9-1</f>
        <v>-0.10585980012739915</v>
      </c>
      <c r="H10" s="178">
        <f t="shared" si="5"/>
        <v>-0.10308302761065447</v>
      </c>
      <c r="I10" s="178">
        <f t="shared" si="5"/>
        <v>-0.23029388430522657</v>
      </c>
      <c r="J10" s="178">
        <f t="shared" si="5"/>
        <v>0.21284137560548544</v>
      </c>
      <c r="K10" s="179">
        <f t="shared" si="5"/>
        <v>-5.7642638762892551E-3</v>
      </c>
      <c r="L10" s="179">
        <f t="shared" si="5"/>
        <v>0.10956995182286811</v>
      </c>
      <c r="M10" s="179">
        <f>M9/L9-1</f>
        <v>9.6910388939363212E-2</v>
      </c>
      <c r="N10" s="179">
        <f>N9/M9-1</f>
        <v>0.12550980821719504</v>
      </c>
      <c r="O10" s="179">
        <f>O9/N9-1</f>
        <v>1.4802099105875932E-2</v>
      </c>
      <c r="P10" s="164"/>
      <c r="R10" s="172"/>
      <c r="S10" s="172"/>
      <c r="T10" s="172"/>
      <c r="U10" s="151"/>
      <c r="V10" s="151"/>
      <c r="W10" s="151"/>
      <c r="X10" s="151"/>
      <c r="Y10" s="151"/>
      <c r="Z10" s="151"/>
      <c r="AA10" s="151"/>
      <c r="AB10" s="151"/>
      <c r="AC10" s="151"/>
    </row>
    <row r="11" spans="1:29" ht="15.75">
      <c r="A11" s="180" t="s">
        <v>267</v>
      </c>
      <c r="B11" s="180"/>
      <c r="C11" s="181">
        <f t="shared" ref="C11:H11" si="6">C13+C14</f>
        <v>5415.9504911999993</v>
      </c>
      <c r="D11" s="181">
        <f t="shared" si="6"/>
        <v>5668.3810514999996</v>
      </c>
      <c r="E11" s="181">
        <f t="shared" si="6"/>
        <v>5671.8205601</v>
      </c>
      <c r="F11" s="181">
        <f t="shared" si="6"/>
        <v>5875.3461071000002</v>
      </c>
      <c r="G11" s="181">
        <f t="shared" si="6"/>
        <v>6048.5999999999995</v>
      </c>
      <c r="H11" s="181">
        <f t="shared" si="6"/>
        <v>6154.4967692999953</v>
      </c>
      <c r="I11" s="181">
        <f>I13+I14</f>
        <v>6366.3819678</v>
      </c>
      <c r="J11" s="181">
        <f>J13+J14</f>
        <v>7351.5</v>
      </c>
      <c r="K11" s="182">
        <f t="shared" ref="K11:L11" si="7">K13+K14</f>
        <v>7378.1808888888891</v>
      </c>
      <c r="L11" s="182">
        <f t="shared" si="7"/>
        <v>7669.5297777777778</v>
      </c>
      <c r="M11" s="182">
        <f>M13+M14</f>
        <v>8264.2684894096456</v>
      </c>
      <c r="N11" s="182">
        <f>N13+N14</f>
        <v>9018.2334447949543</v>
      </c>
      <c r="O11" s="182">
        <f>O13+O14</f>
        <v>9018.2334447949543</v>
      </c>
      <c r="P11" s="164"/>
      <c r="Q11" s="1">
        <v>5443</v>
      </c>
      <c r="R11" s="208">
        <f>Q11/J11</f>
        <v>0.74039311705094202</v>
      </c>
      <c r="S11" s="172"/>
      <c r="T11" s="172"/>
      <c r="U11" s="151"/>
      <c r="V11" s="151"/>
      <c r="W11" s="151"/>
      <c r="X11" s="151"/>
      <c r="Y11" s="151"/>
      <c r="Z11" s="151"/>
      <c r="AA11" s="151"/>
      <c r="AB11" s="151"/>
      <c r="AC11" s="151"/>
    </row>
    <row r="12" spans="1:29" ht="15.75">
      <c r="A12" s="176" t="s">
        <v>108</v>
      </c>
      <c r="B12" s="176"/>
      <c r="C12" s="177"/>
      <c r="D12" s="178">
        <f t="shared" ref="D12:O12" si="8">D11/C11-1</f>
        <v>4.6608727445008435E-2</v>
      </c>
      <c r="E12" s="178">
        <f t="shared" si="8"/>
        <v>6.0678852899109792E-4</v>
      </c>
      <c r="F12" s="178">
        <f t="shared" si="8"/>
        <v>3.5883636452069156E-2</v>
      </c>
      <c r="G12" s="178">
        <f t="shared" si="8"/>
        <v>2.9488287113951017E-2</v>
      </c>
      <c r="H12" s="178">
        <f t="shared" si="8"/>
        <v>1.7507649588333729E-2</v>
      </c>
      <c r="I12" s="178">
        <f t="shared" si="8"/>
        <v>3.4427704886764277E-2</v>
      </c>
      <c r="J12" s="178">
        <f t="shared" si="8"/>
        <v>0.15473750038601941</v>
      </c>
      <c r="K12" s="179">
        <f t="shared" si="8"/>
        <v>3.6293122340866901E-3</v>
      </c>
      <c r="L12" s="179">
        <f t="shared" si="8"/>
        <v>3.9487902679052445E-2</v>
      </c>
      <c r="M12" s="179">
        <f t="shared" si="8"/>
        <v>7.7545655191939566E-2</v>
      </c>
      <c r="N12" s="179">
        <f t="shared" si="8"/>
        <v>9.1231904717457679E-2</v>
      </c>
      <c r="O12" s="179">
        <f t="shared" si="8"/>
        <v>0</v>
      </c>
      <c r="P12" s="164"/>
      <c r="R12" s="172"/>
      <c r="S12" s="172"/>
      <c r="T12" s="172"/>
      <c r="U12" s="151"/>
      <c r="V12" s="151"/>
      <c r="W12" s="151"/>
      <c r="X12" s="151"/>
      <c r="Y12" s="151"/>
      <c r="Z12" s="151"/>
      <c r="AA12" s="151"/>
      <c r="AB12" s="151"/>
      <c r="AC12" s="151"/>
    </row>
    <row r="13" spans="1:29" ht="15.75">
      <c r="A13" s="185" t="s">
        <v>268</v>
      </c>
      <c r="B13" s="176"/>
      <c r="C13" s="186">
        <f t="shared" ref="C13:J13" si="9">C16+C18+C22+C23+C26+C27+C30+C38+C57+C58</f>
        <v>4475.1499999999996</v>
      </c>
      <c r="D13" s="186">
        <f t="shared" si="9"/>
        <v>4695.95</v>
      </c>
      <c r="E13" s="186">
        <f t="shared" si="9"/>
        <v>4781.95</v>
      </c>
      <c r="F13" s="186">
        <f t="shared" si="9"/>
        <v>5048.8500000000004</v>
      </c>
      <c r="G13" s="186">
        <f t="shared" si="9"/>
        <v>5069.7</v>
      </c>
      <c r="H13" s="186">
        <f t="shared" si="9"/>
        <v>5133.6192709999996</v>
      </c>
      <c r="I13" s="186">
        <f t="shared" si="9"/>
        <v>5470.3390650000001</v>
      </c>
      <c r="J13" s="186">
        <f>J16+J18+J22+J23+J26+J27+J30+J33+J38+J35+J54+J57+J58</f>
        <v>6401.5</v>
      </c>
      <c r="K13" s="187">
        <f t="shared" ref="K13:O13" si="10">K16+K18+K22+K23+K26+K27+K30+K33+K38+K54+K57+K58</f>
        <v>6428.1808888888891</v>
      </c>
      <c r="L13" s="187">
        <f t="shared" si="10"/>
        <v>6719.5297777777778</v>
      </c>
      <c r="M13" s="187">
        <f t="shared" si="10"/>
        <v>7314.2684894096456</v>
      </c>
      <c r="N13" s="187">
        <f t="shared" si="10"/>
        <v>7986.2334447949534</v>
      </c>
      <c r="O13" s="187">
        <f t="shared" si="10"/>
        <v>7986.2334447949534</v>
      </c>
      <c r="P13" s="164"/>
      <c r="R13" s="172"/>
      <c r="S13" s="172"/>
      <c r="T13" s="172"/>
      <c r="U13" s="151"/>
      <c r="V13" s="151"/>
      <c r="W13" s="151"/>
      <c r="X13" s="151"/>
      <c r="Y13" s="151"/>
      <c r="Z13" s="151"/>
      <c r="AA13" s="151"/>
      <c r="AB13" s="151"/>
      <c r="AC13" s="151"/>
    </row>
    <row r="14" spans="1:29" ht="15.75">
      <c r="A14" s="185" t="s">
        <v>269</v>
      </c>
      <c r="B14" s="176"/>
      <c r="C14" s="186">
        <v>940.80049120000001</v>
      </c>
      <c r="D14" s="186">
        <v>972.43105149999985</v>
      </c>
      <c r="E14" s="186">
        <v>889.87056009999981</v>
      </c>
      <c r="F14" s="186">
        <v>826.49610710000002</v>
      </c>
      <c r="G14" s="186">
        <v>978.89999999999986</v>
      </c>
      <c r="H14" s="186">
        <v>1020.8774982999961</v>
      </c>
      <c r="I14" s="186">
        <v>896.04290279999998</v>
      </c>
      <c r="J14" s="186">
        <v>950</v>
      </c>
      <c r="K14" s="187">
        <f>J14</f>
        <v>950</v>
      </c>
      <c r="L14" s="187">
        <f t="shared" ref="L14" si="11">K14</f>
        <v>950</v>
      </c>
      <c r="M14" s="187">
        <f>L14</f>
        <v>950</v>
      </c>
      <c r="N14" s="187">
        <f>M14+82</f>
        <v>1032</v>
      </c>
      <c r="O14" s="187">
        <f>N14</f>
        <v>1032</v>
      </c>
      <c r="P14" s="164"/>
      <c r="R14" s="172"/>
      <c r="S14" s="172"/>
      <c r="T14" s="172"/>
      <c r="U14" s="151"/>
      <c r="V14" s="151"/>
      <c r="W14" s="151"/>
      <c r="X14" s="151"/>
      <c r="Y14" s="151"/>
      <c r="Z14" s="151"/>
      <c r="AA14" s="151"/>
      <c r="AB14" s="151"/>
      <c r="AC14" s="151"/>
    </row>
    <row r="15" spans="1:29" s="141" customFormat="1" ht="14.25" customHeight="1" outlineLevel="1">
      <c r="A15" s="180" t="s">
        <v>90</v>
      </c>
      <c r="B15" s="180"/>
      <c r="C15" s="181">
        <f>(C16+C18)*C19/1000</f>
        <v>93.951999999999998</v>
      </c>
      <c r="D15" s="181">
        <f>(D16+D18)*D19/1000</f>
        <v>103.292</v>
      </c>
      <c r="E15" s="181">
        <f t="shared" ref="E15:F15" si="12">(E16+E18)*E19/1000</f>
        <v>85.12</v>
      </c>
      <c r="F15" s="181">
        <f t="shared" si="12"/>
        <v>75.795000000000002</v>
      </c>
      <c r="G15" s="181">
        <f>(G16+G18)*G19/1000</f>
        <v>57.43490000000007</v>
      </c>
      <c r="H15" s="181">
        <f>(H16+H18)*H19/1000</f>
        <v>14.204599282599961</v>
      </c>
      <c r="I15" s="181">
        <f>(I16+I18)*I19/1000</f>
        <v>72.522000000000006</v>
      </c>
      <c r="J15" s="181">
        <f>(J16+J18)*J19/1000</f>
        <v>147.11699999999999</v>
      </c>
      <c r="K15" s="182">
        <f>(K16+K18)*K19/1000</f>
        <v>153.03158400000001</v>
      </c>
      <c r="L15" s="182">
        <f t="shared" ref="L15" si="13">(L16+L18)*L19/1000</f>
        <v>144.0002485302393</v>
      </c>
      <c r="M15" s="182">
        <f>(M16+M18)*M19/1000</f>
        <v>131.77305489622177</v>
      </c>
      <c r="N15" s="182">
        <f>(N16+N18)*N19/1000</f>
        <v>111.79382981724306</v>
      </c>
      <c r="O15" s="182">
        <f>(O16+O18)*O19/1000</f>
        <v>113.06299991511894</v>
      </c>
      <c r="P15" s="183"/>
      <c r="R15" s="339"/>
      <c r="S15" s="339"/>
      <c r="T15" s="339"/>
      <c r="U15" s="184"/>
      <c r="V15" s="184"/>
      <c r="W15" s="184"/>
      <c r="X15" s="184"/>
      <c r="Y15" s="184"/>
      <c r="Z15" s="184"/>
      <c r="AA15" s="184"/>
      <c r="AB15" s="184"/>
      <c r="AC15" s="184"/>
    </row>
    <row r="16" spans="1:29" s="141" customFormat="1" ht="15.75" customHeight="1" outlineLevel="2">
      <c r="A16" s="185" t="s">
        <v>109</v>
      </c>
      <c r="B16" s="185"/>
      <c r="C16" s="186">
        <v>1722</v>
      </c>
      <c r="D16" s="186">
        <v>1770</v>
      </c>
      <c r="E16" s="186">
        <v>1783</v>
      </c>
      <c r="F16" s="186">
        <v>1917</v>
      </c>
      <c r="G16" s="186">
        <v>1821.8000000000002</v>
      </c>
      <c r="H16" s="186">
        <v>1765.001</v>
      </c>
      <c r="I16" s="186">
        <v>2201</v>
      </c>
      <c r="J16" s="186">
        <v>2595</v>
      </c>
      <c r="K16" s="406">
        <f>J16</f>
        <v>2595</v>
      </c>
      <c r="L16" s="187">
        <f t="shared" ref="L16:O17" si="14">K16</f>
        <v>2595</v>
      </c>
      <c r="M16" s="327">
        <f>L16+71+130</f>
        <v>2796</v>
      </c>
      <c r="N16" s="327">
        <f>M16+128</f>
        <v>2924</v>
      </c>
      <c r="O16" s="327">
        <f>N16</f>
        <v>2924</v>
      </c>
      <c r="P16" s="183" t="s">
        <v>270</v>
      </c>
      <c r="R16" s="340"/>
      <c r="S16" s="340"/>
      <c r="T16" s="340"/>
      <c r="U16" s="187"/>
      <c r="V16" s="184"/>
      <c r="W16" s="184"/>
      <c r="X16" s="184"/>
      <c r="Y16" s="184"/>
      <c r="Z16" s="184"/>
      <c r="AA16" s="184"/>
      <c r="AB16" s="184"/>
      <c r="AC16" s="184"/>
    </row>
    <row r="17" spans="1:29" s="141" customFormat="1" ht="15.75" customHeight="1" outlineLevel="2">
      <c r="A17" s="188" t="s">
        <v>110</v>
      </c>
      <c r="B17" s="188"/>
      <c r="C17" s="186">
        <v>98</v>
      </c>
      <c r="D17" s="186">
        <v>90</v>
      </c>
      <c r="E17" s="186">
        <v>88</v>
      </c>
      <c r="F17" s="186">
        <v>81</v>
      </c>
      <c r="G17" s="186">
        <v>75</v>
      </c>
      <c r="H17" s="186">
        <v>57</v>
      </c>
      <c r="I17" s="186">
        <v>0</v>
      </c>
      <c r="J17" s="186">
        <v>0</v>
      </c>
      <c r="K17" s="187">
        <f t="shared" ref="K17" si="15">J17</f>
        <v>0</v>
      </c>
      <c r="L17" s="187">
        <f t="shared" si="14"/>
        <v>0</v>
      </c>
      <c r="M17" s="187">
        <f t="shared" si="14"/>
        <v>0</v>
      </c>
      <c r="N17" s="187">
        <f t="shared" si="14"/>
        <v>0</v>
      </c>
      <c r="O17" s="187">
        <f t="shared" si="14"/>
        <v>0</v>
      </c>
      <c r="P17" s="183"/>
      <c r="R17" s="341"/>
      <c r="S17" s="341"/>
      <c r="T17" s="341"/>
      <c r="U17" s="187"/>
      <c r="V17" s="184"/>
      <c r="W17" s="184"/>
      <c r="X17" s="184"/>
      <c r="Y17" s="184"/>
      <c r="Z17" s="184"/>
      <c r="AA17" s="184"/>
      <c r="AB17" s="184"/>
      <c r="AC17" s="184"/>
    </row>
    <row r="18" spans="1:29" s="141" customFormat="1" ht="15.75" customHeight="1" outlineLevel="2">
      <c r="A18" s="185" t="s">
        <v>111</v>
      </c>
      <c r="B18" s="185"/>
      <c r="C18" s="186">
        <v>-1466</v>
      </c>
      <c r="D18" s="186">
        <v>-1574</v>
      </c>
      <c r="E18" s="186">
        <v>-1631</v>
      </c>
      <c r="F18" s="186">
        <v>-1762</v>
      </c>
      <c r="G18" s="186">
        <v>-1706.7</v>
      </c>
      <c r="H18" s="186">
        <v>-1728.5602630000001</v>
      </c>
      <c r="I18" s="186">
        <v>-1895</v>
      </c>
      <c r="J18" s="186">
        <v>-2044</v>
      </c>
      <c r="K18" s="187">
        <f>-(0.58*K22+0.46*(K26-340)+0.212*K38+0.1486*K54+108)</f>
        <v>-2021.848</v>
      </c>
      <c r="L18" s="187">
        <f>-(0.58*L22+0.46*(L26-340)+0.212*L38+0.1486*L54+108)</f>
        <v>-2145.3879999999999</v>
      </c>
      <c r="M18" s="187">
        <f>-(0.58*M22+0.46*(M26-340)+0.212*M38+0.1486*M54+108)</f>
        <v>-2389.1860000000001</v>
      </c>
      <c r="N18" s="187">
        <f>-(0.58*N22+0.46*(N26-340)+0.212*N38+0.1486*N54+108)</f>
        <v>-2582.7420000000002</v>
      </c>
      <c r="O18" s="187">
        <f>-(0.58*O22+0.46*(O26-340)+0.212*O38+0.1486*O54+108)</f>
        <v>-2582.7420000000002</v>
      </c>
      <c r="P18" s="183"/>
      <c r="R18" s="341"/>
      <c r="S18" s="341"/>
      <c r="T18" s="341"/>
      <c r="U18" s="187"/>
      <c r="V18" s="184"/>
      <c r="W18" s="184"/>
      <c r="X18" s="184"/>
      <c r="Y18" s="184"/>
      <c r="Z18" s="184"/>
      <c r="AA18" s="184"/>
      <c r="AB18" s="184"/>
      <c r="AC18" s="184"/>
    </row>
    <row r="19" spans="1:29" s="141" customFormat="1" ht="15.75" customHeight="1" outlineLevel="2">
      <c r="A19" s="189" t="s">
        <v>112</v>
      </c>
      <c r="B19" s="189"/>
      <c r="C19" s="190">
        <v>367</v>
      </c>
      <c r="D19" s="190">
        <v>527</v>
      </c>
      <c r="E19" s="190">
        <v>560</v>
      </c>
      <c r="F19" s="190">
        <v>489</v>
      </c>
      <c r="G19" s="190">
        <v>499</v>
      </c>
      <c r="H19" s="190">
        <v>389.8</v>
      </c>
      <c r="I19" s="190">
        <v>237</v>
      </c>
      <c r="J19" s="190">
        <v>267</v>
      </c>
      <c r="K19" s="191">
        <f>J19</f>
        <v>267</v>
      </c>
      <c r="L19" s="191">
        <f>[8]PX!P$68</f>
        <v>320.2767019791271</v>
      </c>
      <c r="M19" s="191">
        <f>[8]PX!Q$68</f>
        <v>323.91474948310974</v>
      </c>
      <c r="N19" s="191">
        <f>[8]PX!R$68</f>
        <v>327.59328665479819</v>
      </c>
      <c r="O19" s="191">
        <f>[8]PX!S$68</f>
        <v>331.31237924127493</v>
      </c>
      <c r="P19" s="408">
        <f>M19/J19-1</f>
        <v>0.21316385574198415</v>
      </c>
      <c r="R19" s="340"/>
      <c r="S19" s="340"/>
      <c r="T19" s="340" t="s">
        <v>322</v>
      </c>
      <c r="U19" s="187"/>
      <c r="V19" s="184"/>
      <c r="W19" s="184"/>
      <c r="X19" s="184"/>
      <c r="Y19" s="184"/>
      <c r="Z19" s="184"/>
      <c r="AA19" s="184"/>
      <c r="AB19" s="184"/>
      <c r="AC19" s="184"/>
    </row>
    <row r="20" spans="1:29" s="141" customFormat="1" ht="15.75" customHeight="1" outlineLevel="1">
      <c r="A20" s="180" t="s">
        <v>113</v>
      </c>
      <c r="B20" s="180"/>
      <c r="C20" s="181">
        <f>C21+C25+C29+C32</f>
        <v>410.07550000000003</v>
      </c>
      <c r="D20" s="181">
        <f t="shared" ref="D20:N20" si="16">D21+D25+D29+D32</f>
        <v>596.56970000000001</v>
      </c>
      <c r="E20" s="181">
        <f t="shared" si="16"/>
        <v>629.20404999999994</v>
      </c>
      <c r="F20" s="181">
        <f t="shared" si="16"/>
        <v>637.82294999999999</v>
      </c>
      <c r="G20" s="181">
        <f t="shared" si="16"/>
        <v>604.70699999999999</v>
      </c>
      <c r="H20" s="181">
        <f t="shared" si="16"/>
        <v>490.79602197500003</v>
      </c>
      <c r="I20" s="181">
        <f t="shared" si="16"/>
        <v>456.01743128999999</v>
      </c>
      <c r="J20" s="181">
        <f t="shared" si="16"/>
        <v>657.01750000000004</v>
      </c>
      <c r="K20" s="192">
        <f t="shared" si="16"/>
        <v>631.01257555555549</v>
      </c>
      <c r="L20" s="192">
        <f t="shared" si="16"/>
        <v>762.0322793410171</v>
      </c>
      <c r="M20" s="192">
        <f t="shared" si="16"/>
        <v>827.85635676336619</v>
      </c>
      <c r="N20" s="192">
        <f t="shared" si="16"/>
        <v>832.23564306953313</v>
      </c>
      <c r="O20" s="192">
        <f>O21+O25+O29+O32</f>
        <v>836.64455548657224</v>
      </c>
      <c r="P20" s="183"/>
      <c r="R20" s="339"/>
      <c r="S20" s="339"/>
      <c r="T20" s="339"/>
      <c r="U20" s="184"/>
      <c r="V20" s="184"/>
      <c r="W20" s="184"/>
      <c r="X20" s="184"/>
      <c r="Y20" s="184"/>
      <c r="Z20" s="184"/>
      <c r="AA20" s="184"/>
      <c r="AB20" s="184"/>
      <c r="AC20" s="184"/>
    </row>
    <row r="21" spans="1:29" s="141" customFormat="1" ht="15.75" customHeight="1" outlineLevel="2">
      <c r="A21" s="185" t="s">
        <v>89</v>
      </c>
      <c r="B21" s="185"/>
      <c r="C21" s="186">
        <f>(C22+C23)*C24/1000</f>
        <v>54.335999999999999</v>
      </c>
      <c r="D21" s="186">
        <f t="shared" ref="D21:F21" si="17">(D22+D23)*D24/1000</f>
        <v>73.748000000000005</v>
      </c>
      <c r="E21" s="186">
        <f t="shared" si="17"/>
        <v>98</v>
      </c>
      <c r="F21" s="186">
        <f t="shared" si="17"/>
        <v>95.483999999999995</v>
      </c>
      <c r="G21" s="186">
        <f>(G22+G23)*G24/1000</f>
        <v>71.0946</v>
      </c>
      <c r="H21" s="186">
        <f>(H22+H23)*H24/1000</f>
        <v>61.114964999999998</v>
      </c>
      <c r="I21" s="186">
        <f>(I22+I23)*I24/1000</f>
        <v>66.153999999999996</v>
      </c>
      <c r="J21" s="186">
        <f>(J22+J23)*J24/1000</f>
        <v>114.45</v>
      </c>
      <c r="K21" s="187">
        <f>(K22+K23)*K24/1000</f>
        <v>115.67952000000001</v>
      </c>
      <c r="L21" s="187">
        <f t="shared" ref="L21:M21" si="18">(L22+L23)*L24/1000</f>
        <v>183.84088690361139</v>
      </c>
      <c r="M21" s="187">
        <f t="shared" si="18"/>
        <v>174.11268471909202</v>
      </c>
      <c r="N21" s="187">
        <f>(N22+N23)*N24/1000</f>
        <v>175.04787648097758</v>
      </c>
      <c r="O21" s="187">
        <f>(O22+O23)*O24/1000</f>
        <v>175.99337861572059</v>
      </c>
      <c r="P21" s="183"/>
      <c r="R21" s="339"/>
      <c r="S21" s="339"/>
      <c r="T21" s="339"/>
      <c r="U21" s="184"/>
      <c r="V21" s="184"/>
      <c r="W21" s="184"/>
      <c r="X21" s="184"/>
      <c r="Y21" s="184"/>
      <c r="Z21" s="184"/>
      <c r="AA21" s="184"/>
      <c r="AB21" s="184"/>
      <c r="AC21" s="184"/>
    </row>
    <row r="22" spans="1:29" s="141" customFormat="1" ht="15.75" customHeight="1" outlineLevel="2">
      <c r="A22" s="188" t="s">
        <v>109</v>
      </c>
      <c r="B22" s="188"/>
      <c r="C22" s="186">
        <v>449</v>
      </c>
      <c r="D22" s="186">
        <v>459</v>
      </c>
      <c r="E22" s="186">
        <v>571</v>
      </c>
      <c r="F22" s="186">
        <v>656</v>
      </c>
      <c r="G22" s="186">
        <v>645.6</v>
      </c>
      <c r="H22" s="186">
        <v>623.5</v>
      </c>
      <c r="I22" s="186">
        <v>823</v>
      </c>
      <c r="J22" s="186">
        <v>954</v>
      </c>
      <c r="K22" s="407">
        <f>J22</f>
        <v>954</v>
      </c>
      <c r="L22" s="398">
        <f>K22+213</f>
        <v>1167</v>
      </c>
      <c r="M22" s="199">
        <f t="shared" ref="M22:O22" si="19">L22</f>
        <v>1167</v>
      </c>
      <c r="N22" s="199">
        <f t="shared" si="19"/>
        <v>1167</v>
      </c>
      <c r="O22" s="199">
        <f t="shared" si="19"/>
        <v>1167</v>
      </c>
      <c r="P22" s="183"/>
      <c r="R22" s="340"/>
      <c r="S22" s="340"/>
      <c r="T22" s="340"/>
      <c r="U22" s="184"/>
      <c r="V22" s="184"/>
      <c r="W22" s="184"/>
      <c r="X22" s="184"/>
      <c r="Y22" s="184"/>
      <c r="Z22" s="184"/>
      <c r="AA22" s="184"/>
      <c r="AB22" s="184"/>
      <c r="AC22" s="184"/>
    </row>
    <row r="23" spans="1:29" s="141" customFormat="1" ht="15.75" customHeight="1" outlineLevel="2">
      <c r="A23" s="188" t="s">
        <v>111</v>
      </c>
      <c r="B23" s="188"/>
      <c r="C23" s="186">
        <v>-257</v>
      </c>
      <c r="D23" s="186">
        <v>-280</v>
      </c>
      <c r="E23" s="186">
        <v>-326</v>
      </c>
      <c r="F23" s="186">
        <v>-364</v>
      </c>
      <c r="G23" s="186">
        <v>-417</v>
      </c>
      <c r="H23" s="186">
        <v>-394.60500000000002</v>
      </c>
      <c r="I23" s="186">
        <v>-482</v>
      </c>
      <c r="J23" s="186">
        <v>-429</v>
      </c>
      <c r="K23" s="187">
        <f t="shared" ref="K23:N23" si="20">-0.378*(K30+170)</f>
        <v>-423.36</v>
      </c>
      <c r="L23" s="187">
        <f t="shared" si="20"/>
        <v>-423.36</v>
      </c>
      <c r="M23" s="187">
        <f t="shared" si="20"/>
        <v>-466.452</v>
      </c>
      <c r="N23" s="187">
        <f>-0.378*(N30+170)</f>
        <v>-466.452</v>
      </c>
      <c r="O23" s="187">
        <f>-0.378*(O30+170)</f>
        <v>-466.452</v>
      </c>
      <c r="P23" s="183"/>
      <c r="R23" s="339"/>
      <c r="S23" s="339"/>
      <c r="T23" s="339"/>
      <c r="U23" s="184"/>
      <c r="V23" s="184"/>
      <c r="W23" s="184"/>
      <c r="X23" s="184"/>
      <c r="Y23" s="184"/>
      <c r="Z23" s="184"/>
      <c r="AA23" s="184"/>
      <c r="AB23" s="184"/>
      <c r="AC23" s="184"/>
    </row>
    <row r="24" spans="1:29" s="141" customFormat="1" ht="15.75" customHeight="1" outlineLevel="2">
      <c r="A24" s="193" t="s">
        <v>112</v>
      </c>
      <c r="B24" s="193"/>
      <c r="C24" s="190">
        <v>283</v>
      </c>
      <c r="D24" s="190">
        <v>412</v>
      </c>
      <c r="E24" s="190">
        <v>400</v>
      </c>
      <c r="F24" s="190">
        <v>327</v>
      </c>
      <c r="G24" s="190">
        <v>311</v>
      </c>
      <c r="H24" s="190">
        <v>267</v>
      </c>
      <c r="I24" s="190">
        <v>194</v>
      </c>
      <c r="J24" s="190">
        <v>218</v>
      </c>
      <c r="K24" s="191">
        <f>J24</f>
        <v>218</v>
      </c>
      <c r="L24" s="191">
        <f>[9]PX!P$20</f>
        <v>247.21758768168925</v>
      </c>
      <c r="M24" s="191">
        <f>[9]PX!Q$20</f>
        <v>248.53783712049994</v>
      </c>
      <c r="N24" s="191">
        <f>[9]PX!R$20</f>
        <v>249.87278028197579</v>
      </c>
      <c r="O24" s="191">
        <f>[9]PX!S$20</f>
        <v>251.2224410257692</v>
      </c>
      <c r="P24" s="408">
        <f>M24/J24-1</f>
        <v>0.14008182165366945</v>
      </c>
      <c r="U24" s="340" t="s">
        <v>322</v>
      </c>
      <c r="V24" s="184"/>
      <c r="W24" s="184"/>
      <c r="X24" s="184"/>
      <c r="Y24" s="184"/>
      <c r="Z24" s="184"/>
      <c r="AA24" s="184"/>
      <c r="AB24" s="184"/>
      <c r="AC24" s="184"/>
    </row>
    <row r="25" spans="1:29" s="141" customFormat="1" ht="15.75" customHeight="1" outlineLevel="2">
      <c r="A25" s="185" t="s">
        <v>114</v>
      </c>
      <c r="B25" s="185"/>
      <c r="C25" s="186">
        <f>(C26+C27)*C28/1000</f>
        <v>245.44450000000003</v>
      </c>
      <c r="D25" s="186">
        <f t="shared" ref="D25:F25" si="21">(D26+D27)*D28/1000</f>
        <v>356.47469999999998</v>
      </c>
      <c r="E25" s="186">
        <f t="shared" si="21"/>
        <v>332.77204999999998</v>
      </c>
      <c r="F25" s="186">
        <f t="shared" si="21"/>
        <v>335.74694999999997</v>
      </c>
      <c r="G25" s="186">
        <f>(G26+G27)*G28/1000</f>
        <v>305.97000000000003</v>
      </c>
      <c r="H25" s="186">
        <f>(H26+H27)*H28/1000</f>
        <v>259.48338537500001</v>
      </c>
      <c r="I25" s="186">
        <f>(I26+I27)*I28/1000</f>
        <v>233.48843128999997</v>
      </c>
      <c r="J25" s="186">
        <f>(J26+J27)*J28/1000</f>
        <v>248.48750000000001</v>
      </c>
      <c r="K25" s="187">
        <f t="shared" ref="K25:N25" si="22">(K26+K27)*K28/1000</f>
        <v>296.52305555555557</v>
      </c>
      <c r="L25" s="187">
        <f t="shared" si="22"/>
        <v>338.25436883210602</v>
      </c>
      <c r="M25" s="187">
        <f t="shared" si="22"/>
        <v>453.69126776769679</v>
      </c>
      <c r="N25" s="187">
        <f>(N26+N27)*N28/1000</f>
        <v>455.8765947135152</v>
      </c>
      <c r="O25" s="187">
        <f>(O26+O27)*O28/1000</f>
        <v>458.07417776967515</v>
      </c>
      <c r="P25" s="183"/>
      <c r="R25" s="340"/>
      <c r="S25" s="340"/>
      <c r="T25" s="340"/>
      <c r="U25" s="184"/>
      <c r="V25" s="184"/>
      <c r="W25" s="184"/>
      <c r="X25" s="184"/>
      <c r="Y25" s="184"/>
      <c r="Z25" s="184"/>
      <c r="AA25" s="184"/>
      <c r="AB25" s="184"/>
      <c r="AC25" s="184"/>
    </row>
    <row r="26" spans="1:29" s="141" customFormat="1" ht="15.75" customHeight="1" outlineLevel="2">
      <c r="A26" s="188" t="s">
        <v>109</v>
      </c>
      <c r="B26" s="188"/>
      <c r="C26" s="186">
        <v>1298</v>
      </c>
      <c r="D26" s="186">
        <v>1412</v>
      </c>
      <c r="E26" s="186">
        <v>1423</v>
      </c>
      <c r="F26" s="186">
        <v>1533</v>
      </c>
      <c r="G26" s="186">
        <v>1434</v>
      </c>
      <c r="H26" s="186">
        <v>1516.070326</v>
      </c>
      <c r="I26" s="186">
        <v>1748</v>
      </c>
      <c r="J26" s="186">
        <f>1975+340</f>
        <v>2315</v>
      </c>
      <c r="K26" s="327">
        <f>J26+0.45*(K30-J30)-40</f>
        <v>2275</v>
      </c>
      <c r="L26" s="187">
        <f>K26+0.45*(L30-K30)</f>
        <v>2275</v>
      </c>
      <c r="M26" s="327">
        <f>L26+0.45*(M30-L30)+322</f>
        <v>2648.3</v>
      </c>
      <c r="N26" s="327">
        <f>M26+0.45*(N30-M30)</f>
        <v>2648.3</v>
      </c>
      <c r="O26" s="327">
        <f>N26+0.45*(O30-N30)</f>
        <v>2648.3</v>
      </c>
      <c r="P26" s="183">
        <v>1975</v>
      </c>
      <c r="R26" s="340"/>
      <c r="S26" s="340"/>
      <c r="T26" s="340"/>
      <c r="U26" s="184"/>
      <c r="V26" s="184"/>
      <c r="W26" s="184"/>
      <c r="X26" s="184"/>
      <c r="Y26" s="184"/>
      <c r="Z26" s="184"/>
      <c r="AA26" s="184"/>
      <c r="AB26" s="184"/>
      <c r="AC26" s="184"/>
    </row>
    <row r="27" spans="1:29" s="141" customFormat="1" ht="15.75" customHeight="1" outlineLevel="2">
      <c r="A27" s="188" t="s">
        <v>111</v>
      </c>
      <c r="B27" s="188"/>
      <c r="C27" s="186">
        <f t="shared" ref="C27:E27" si="23">-(0.45*C30)</f>
        <v>-230.85</v>
      </c>
      <c r="D27" s="186">
        <f t="shared" si="23"/>
        <v>-247.05</v>
      </c>
      <c r="E27" s="186">
        <f t="shared" si="23"/>
        <v>-310.05</v>
      </c>
      <c r="F27" s="186">
        <f>-(0.45*F30)</f>
        <v>-363.15000000000003</v>
      </c>
      <c r="G27" s="186">
        <f>-118.8-230.2</f>
        <v>-349</v>
      </c>
      <c r="H27" s="186">
        <f>-86.637701-265.83</f>
        <v>-352.46770099999998</v>
      </c>
      <c r="I27" s="186">
        <f>-172.304405-169.13878</f>
        <v>-341.44318499999997</v>
      </c>
      <c r="J27" s="186">
        <f>-(0.45*J30)+J34</f>
        <v>-1027.5</v>
      </c>
      <c r="K27" s="187">
        <f t="shared" ref="K27:O27" si="24">-(0.45*K30)+K34</f>
        <v>-738.61111111111109</v>
      </c>
      <c r="L27" s="187">
        <f t="shared" si="24"/>
        <v>-649.72222222222217</v>
      </c>
      <c r="M27" s="187">
        <f t="shared" si="24"/>
        <v>-478.8</v>
      </c>
      <c r="N27" s="187">
        <f t="shared" si="24"/>
        <v>-478.8</v>
      </c>
      <c r="O27" s="187">
        <f>-(0.45*O30)+O34</f>
        <v>-478.8</v>
      </c>
      <c r="P27" s="183">
        <v>340</v>
      </c>
      <c r="R27" s="339"/>
      <c r="S27" s="339"/>
      <c r="T27" s="339"/>
      <c r="U27" s="184"/>
      <c r="V27" s="184"/>
      <c r="W27" s="184"/>
      <c r="X27" s="184"/>
      <c r="Y27" s="184"/>
      <c r="Z27" s="184"/>
      <c r="AA27" s="184"/>
      <c r="AB27" s="184"/>
      <c r="AC27" s="184"/>
    </row>
    <row r="28" spans="1:29" s="141" customFormat="1" ht="15.75" customHeight="1" outlineLevel="2">
      <c r="A28" s="193" t="s">
        <v>112</v>
      </c>
      <c r="B28" s="193"/>
      <c r="C28" s="190">
        <v>230</v>
      </c>
      <c r="D28" s="190">
        <v>306</v>
      </c>
      <c r="E28" s="190">
        <v>299</v>
      </c>
      <c r="F28" s="190">
        <v>287</v>
      </c>
      <c r="G28" s="190">
        <v>282</v>
      </c>
      <c r="H28" s="190">
        <v>223</v>
      </c>
      <c r="I28" s="190">
        <v>166</v>
      </c>
      <c r="J28" s="190">
        <v>193</v>
      </c>
      <c r="K28" s="191">
        <f>J28</f>
        <v>193</v>
      </c>
      <c r="L28" s="191">
        <f t="shared" ref="K28:O28" si="25">188.04*LN(L24)-818.03-10</f>
        <v>208.12095843370048</v>
      </c>
      <c r="M28" s="191">
        <f t="shared" si="25"/>
        <v>209.12250185189987</v>
      </c>
      <c r="N28" s="191">
        <f t="shared" si="25"/>
        <v>210.12979705624116</v>
      </c>
      <c r="O28" s="191">
        <f t="shared" si="25"/>
        <v>211.14274153937549</v>
      </c>
      <c r="P28" s="408">
        <f>M28/J28-1</f>
        <v>8.3536279025387961E-2</v>
      </c>
      <c r="R28" s="340"/>
      <c r="S28" s="340"/>
      <c r="T28" s="340" t="s">
        <v>317</v>
      </c>
      <c r="U28" s="340" t="s">
        <v>322</v>
      </c>
      <c r="V28" s="184"/>
      <c r="W28" s="184"/>
      <c r="X28" s="184"/>
      <c r="Y28" s="184"/>
      <c r="Z28" s="184"/>
      <c r="AA28" s="184"/>
      <c r="AB28" s="184"/>
      <c r="AC28" s="184"/>
    </row>
    <row r="29" spans="1:29" s="141" customFormat="1" ht="15.75" customHeight="1" outlineLevel="2">
      <c r="A29" s="185" t="s">
        <v>115</v>
      </c>
      <c r="B29" s="185"/>
      <c r="C29" s="186">
        <f>C30*C31/1000</f>
        <v>110.295</v>
      </c>
      <c r="D29" s="186">
        <f t="shared" ref="D29:F29" si="26">D30*D31/1000</f>
        <v>166.34700000000001</v>
      </c>
      <c r="E29" s="186">
        <f t="shared" si="26"/>
        <v>198.43199999999999</v>
      </c>
      <c r="F29" s="186">
        <f t="shared" si="26"/>
        <v>206.59200000000001</v>
      </c>
      <c r="G29" s="186">
        <f>G30*G31/1000</f>
        <v>227.64239999999998</v>
      </c>
      <c r="H29" s="186">
        <f>H30*H31/1000</f>
        <v>170.19767160000001</v>
      </c>
      <c r="I29" s="186">
        <f>I30*I31/1000</f>
        <v>156.375</v>
      </c>
      <c r="J29" s="186">
        <f>J30*J31/1000</f>
        <v>137.75</v>
      </c>
      <c r="K29" s="187">
        <f>K30*K31/1000</f>
        <v>137.75</v>
      </c>
      <c r="L29" s="187">
        <f t="shared" ref="L29:N29" si="27">L30*L31/1000</f>
        <v>177.50073607518954</v>
      </c>
      <c r="M29" s="187">
        <f t="shared" si="27"/>
        <v>200.05240427657742</v>
      </c>
      <c r="N29" s="187">
        <f t="shared" si="27"/>
        <v>201.3111718750404</v>
      </c>
      <c r="O29" s="187">
        <f>O30*O31/1000</f>
        <v>202.57699910117651</v>
      </c>
      <c r="P29" s="183">
        <f>SUM(P26:P28)</f>
        <v>2315.0835362790253</v>
      </c>
      <c r="R29" s="339"/>
      <c r="S29" s="339"/>
      <c r="T29" s="339"/>
      <c r="U29" s="184"/>
      <c r="V29" s="184"/>
      <c r="W29" s="184"/>
      <c r="X29" s="184"/>
      <c r="Y29" s="184"/>
      <c r="Z29" s="184"/>
      <c r="AA29" s="184"/>
      <c r="AB29" s="184"/>
      <c r="AC29" s="184"/>
    </row>
    <row r="30" spans="1:29" ht="15.75" customHeight="1" outlineLevel="2">
      <c r="A30" s="188" t="s">
        <v>109</v>
      </c>
      <c r="B30" s="188"/>
      <c r="C30" s="186">
        <v>513</v>
      </c>
      <c r="D30" s="186">
        <v>549</v>
      </c>
      <c r="E30" s="186">
        <v>689</v>
      </c>
      <c r="F30" s="186">
        <v>807</v>
      </c>
      <c r="G30" s="186">
        <v>936.8</v>
      </c>
      <c r="H30" s="186">
        <v>859.58420000000001</v>
      </c>
      <c r="I30" s="186">
        <v>1125</v>
      </c>
      <c r="J30" s="186">
        <v>950</v>
      </c>
      <c r="K30" s="406">
        <f>J30</f>
        <v>950</v>
      </c>
      <c r="L30" s="187">
        <f t="shared" ref="L30:O30" si="28">K30</f>
        <v>950</v>
      </c>
      <c r="M30" s="327">
        <f>L30+114</f>
        <v>1064</v>
      </c>
      <c r="N30" s="187">
        <f t="shared" si="28"/>
        <v>1064</v>
      </c>
      <c r="O30" s="187">
        <f t="shared" si="28"/>
        <v>1064</v>
      </c>
      <c r="P30" s="183">
        <v>-600</v>
      </c>
      <c r="R30" s="340"/>
      <c r="S30" s="340"/>
      <c r="T30" s="340"/>
    </row>
    <row r="31" spans="1:29" ht="15.75" customHeight="1" outlineLevel="2">
      <c r="A31" s="193" t="s">
        <v>112</v>
      </c>
      <c r="B31" s="193"/>
      <c r="C31" s="190">
        <v>215</v>
      </c>
      <c r="D31" s="190">
        <v>303</v>
      </c>
      <c r="E31" s="190">
        <v>288</v>
      </c>
      <c r="F31" s="190">
        <v>256</v>
      </c>
      <c r="G31" s="190">
        <v>243</v>
      </c>
      <c r="H31" s="190">
        <v>198</v>
      </c>
      <c r="I31" s="190">
        <v>139</v>
      </c>
      <c r="J31" s="190">
        <v>145</v>
      </c>
      <c r="K31" s="191">
        <f>J31</f>
        <v>145</v>
      </c>
      <c r="L31" s="191">
        <f t="shared" ref="K31:O31" si="29">220.85*LN(L24)-1030.1</f>
        <v>186.84288007914688</v>
      </c>
      <c r="M31" s="191">
        <f t="shared" si="29"/>
        <v>188.01917695167049</v>
      </c>
      <c r="N31" s="191">
        <f t="shared" si="29"/>
        <v>189.20222920586502</v>
      </c>
      <c r="O31" s="191">
        <f t="shared" si="29"/>
        <v>190.39191644847415</v>
      </c>
      <c r="P31" s="408">
        <f>M31/J31-1</f>
        <v>0.29668397897703791</v>
      </c>
      <c r="R31" s="340"/>
      <c r="S31" s="340"/>
      <c r="T31" s="340"/>
    </row>
    <row r="32" spans="1:29" ht="15.75" customHeight="1" outlineLevel="2">
      <c r="A32" s="185" t="s">
        <v>324</v>
      </c>
      <c r="B32" s="193"/>
      <c r="C32" s="190">
        <f t="shared" ref="C32:I32" si="30">C33*C36/1000</f>
        <v>0</v>
      </c>
      <c r="D32" s="190">
        <f t="shared" si="30"/>
        <v>0</v>
      </c>
      <c r="E32" s="190">
        <f t="shared" si="30"/>
        <v>0</v>
      </c>
      <c r="F32" s="190">
        <f t="shared" si="30"/>
        <v>0</v>
      </c>
      <c r="G32" s="190">
        <f t="shared" si="30"/>
        <v>0</v>
      </c>
      <c r="H32" s="190">
        <f t="shared" si="30"/>
        <v>0</v>
      </c>
      <c r="I32" s="190">
        <f t="shared" si="30"/>
        <v>0</v>
      </c>
      <c r="J32" s="186">
        <f>J33*J36/1000</f>
        <v>156.33000000000001</v>
      </c>
      <c r="K32" s="187">
        <f t="shared" ref="K32:O32" si="31">K33*K36/1000</f>
        <v>81.06</v>
      </c>
      <c r="L32" s="187">
        <f t="shared" si="31"/>
        <v>62.436287530110143</v>
      </c>
      <c r="M32" s="187">
        <f t="shared" si="31"/>
        <v>0</v>
      </c>
      <c r="N32" s="187">
        <f t="shared" si="31"/>
        <v>0</v>
      </c>
      <c r="O32" s="187">
        <f t="shared" si="31"/>
        <v>0</v>
      </c>
      <c r="P32" s="183"/>
      <c r="R32" s="340"/>
      <c r="S32" s="340"/>
      <c r="T32" s="340"/>
    </row>
    <row r="33" spans="1:29" ht="15.75" customHeight="1" outlineLevel="2">
      <c r="A33" s="188" t="s">
        <v>109</v>
      </c>
      <c r="B33" s="193"/>
      <c r="C33" s="190">
        <v>0</v>
      </c>
      <c r="D33" s="190">
        <v>0</v>
      </c>
      <c r="E33" s="190">
        <v>0</v>
      </c>
      <c r="F33" s="190">
        <v>0</v>
      </c>
      <c r="G33" s="190">
        <v>0</v>
      </c>
      <c r="H33" s="190">
        <v>0</v>
      </c>
      <c r="I33" s="190">
        <v>0</v>
      </c>
      <c r="J33" s="186">
        <v>675</v>
      </c>
      <c r="K33" s="187">
        <v>350</v>
      </c>
      <c r="L33" s="187">
        <v>250</v>
      </c>
      <c r="M33" s="187">
        <v>0</v>
      </c>
      <c r="N33" s="187">
        <v>0</v>
      </c>
      <c r="O33" s="187">
        <v>0</v>
      </c>
      <c r="P33" s="183"/>
      <c r="R33" s="340"/>
      <c r="S33" s="340"/>
      <c r="T33" s="340"/>
    </row>
    <row r="34" spans="1:29" ht="15.75" customHeight="1" outlineLevel="2">
      <c r="A34" s="188" t="s">
        <v>325</v>
      </c>
      <c r="B34" s="193"/>
      <c r="C34" s="190">
        <v>0</v>
      </c>
      <c r="D34" s="190">
        <v>0</v>
      </c>
      <c r="E34" s="190">
        <v>0</v>
      </c>
      <c r="F34" s="190">
        <v>0</v>
      </c>
      <c r="G34" s="190">
        <v>0</v>
      </c>
      <c r="H34" s="190">
        <v>0</v>
      </c>
      <c r="I34" s="190">
        <v>0</v>
      </c>
      <c r="J34" s="186">
        <f>-600</f>
        <v>-600</v>
      </c>
      <c r="K34" s="187">
        <f>J34*K33/J33</f>
        <v>-311.11111111111109</v>
      </c>
      <c r="L34" s="187">
        <f>K34*L33/K33</f>
        <v>-222.2222222222222</v>
      </c>
      <c r="M34" s="187">
        <v>0</v>
      </c>
      <c r="N34" s="187">
        <v>0</v>
      </c>
      <c r="O34" s="187">
        <v>0</v>
      </c>
      <c r="P34" s="183"/>
      <c r="R34" s="340"/>
      <c r="S34" s="340"/>
      <c r="T34" s="340"/>
    </row>
    <row r="35" spans="1:29" ht="15.75" customHeight="1" outlineLevel="2">
      <c r="A35" s="188" t="s">
        <v>326</v>
      </c>
      <c r="B35" s="193"/>
      <c r="C35" s="190">
        <v>0</v>
      </c>
      <c r="D35" s="190">
        <v>0</v>
      </c>
      <c r="E35" s="190">
        <v>0</v>
      </c>
      <c r="F35" s="190">
        <v>0</v>
      </c>
      <c r="G35" s="190">
        <v>0</v>
      </c>
      <c r="H35" s="190">
        <v>0</v>
      </c>
      <c r="I35" s="190">
        <v>0</v>
      </c>
      <c r="J35" s="186">
        <v>-75</v>
      </c>
      <c r="K35" s="187">
        <f>J35*K33/J33</f>
        <v>-38.888888888888886</v>
      </c>
      <c r="L35" s="187">
        <f>K35*L33/K33</f>
        <v>-27.777777777777775</v>
      </c>
      <c r="M35" s="187">
        <v>0</v>
      </c>
      <c r="N35" s="187">
        <v>0</v>
      </c>
      <c r="O35" s="187">
        <v>0</v>
      </c>
      <c r="P35" s="183"/>
      <c r="R35" s="340"/>
      <c r="S35" s="340"/>
      <c r="T35" s="340"/>
    </row>
    <row r="36" spans="1:29" ht="15.75" customHeight="1" outlineLevel="2">
      <c r="A36" s="193" t="s">
        <v>112</v>
      </c>
      <c r="B36" s="193"/>
      <c r="C36" s="190">
        <f t="shared" ref="C36:I36" si="32">C28*1.2</f>
        <v>276</v>
      </c>
      <c r="D36" s="190">
        <f t="shared" si="32"/>
        <v>367.2</v>
      </c>
      <c r="E36" s="190">
        <f t="shared" si="32"/>
        <v>358.8</v>
      </c>
      <c r="F36" s="190">
        <f t="shared" si="32"/>
        <v>344.4</v>
      </c>
      <c r="G36" s="190">
        <f t="shared" si="32"/>
        <v>338.4</v>
      </c>
      <c r="H36" s="190">
        <f t="shared" si="32"/>
        <v>267.59999999999997</v>
      </c>
      <c r="I36" s="190">
        <f t="shared" si="32"/>
        <v>199.2</v>
      </c>
      <c r="J36" s="190">
        <f>J28*1.2</f>
        <v>231.6</v>
      </c>
      <c r="K36" s="353">
        <f t="shared" ref="K36:O36" si="33">K28*1.2</f>
        <v>231.6</v>
      </c>
      <c r="L36" s="353">
        <f t="shared" si="33"/>
        <v>249.74515012044057</v>
      </c>
      <c r="M36" s="353">
        <f t="shared" si="33"/>
        <v>250.94700222227982</v>
      </c>
      <c r="N36" s="353">
        <f t="shared" si="33"/>
        <v>252.15575646748937</v>
      </c>
      <c r="O36" s="353">
        <f>O28*1.2</f>
        <v>253.37128984725058</v>
      </c>
      <c r="P36" s="183"/>
      <c r="R36" s="340"/>
      <c r="S36" s="340"/>
      <c r="T36" s="340"/>
    </row>
    <row r="37" spans="1:29" s="141" customFormat="1" ht="15.75" customHeight="1" outlineLevel="1">
      <c r="A37" s="180" t="s">
        <v>116</v>
      </c>
      <c r="B37" s="180"/>
      <c r="C37" s="181">
        <f t="shared" ref="C37:I37" si="34">(C38+C35)*C40/1000</f>
        <v>866.23800000000006</v>
      </c>
      <c r="D37" s="181">
        <f t="shared" si="34"/>
        <v>1194.0060000000001</v>
      </c>
      <c r="E37" s="181">
        <f t="shared" si="34"/>
        <v>1128.771</v>
      </c>
      <c r="F37" s="181">
        <f t="shared" si="34"/>
        <v>948.51900000000001</v>
      </c>
      <c r="G37" s="181">
        <f t="shared" si="34"/>
        <v>901.10719999999992</v>
      </c>
      <c r="H37" s="181">
        <f t="shared" si="34"/>
        <v>882.80327460000001</v>
      </c>
      <c r="I37" s="181">
        <f>(I38+I35)*I40/1000</f>
        <v>572.22900000000004</v>
      </c>
      <c r="J37" s="181">
        <f>(J38+J35)*J40/1000</f>
        <v>568.16</v>
      </c>
      <c r="K37" s="182">
        <f t="shared" ref="K37:O37" si="35">(K38+K35)*K40/1000</f>
        <v>573.76432511888254</v>
      </c>
      <c r="L37" s="182">
        <f t="shared" si="35"/>
        <v>599.58264898876178</v>
      </c>
      <c r="M37" s="182">
        <f t="shared" si="35"/>
        <v>701.67751437700292</v>
      </c>
      <c r="N37" s="182">
        <f t="shared" si="35"/>
        <v>954.02506983350554</v>
      </c>
      <c r="O37" s="182">
        <f>(O38+O35)*O40/1000</f>
        <v>956.05021065284802</v>
      </c>
      <c r="P37" s="191">
        <f>-340</f>
        <v>-340</v>
      </c>
      <c r="R37" s="339"/>
      <c r="S37" s="339"/>
      <c r="T37" s="339"/>
      <c r="U37" s="184"/>
      <c r="V37" s="184"/>
      <c r="W37" s="184"/>
      <c r="X37" s="184"/>
      <c r="Y37" s="184"/>
      <c r="Z37" s="184"/>
      <c r="AA37" s="184"/>
      <c r="AB37" s="184"/>
      <c r="AC37" s="184"/>
    </row>
    <row r="38" spans="1:29" s="141" customFormat="1" ht="15.75" customHeight="1" outlineLevel="2">
      <c r="A38" s="185" t="s">
        <v>109</v>
      </c>
      <c r="B38" s="185"/>
      <c r="C38" s="186">
        <v>2447</v>
      </c>
      <c r="D38" s="186">
        <v>2607</v>
      </c>
      <c r="E38" s="186">
        <v>2583</v>
      </c>
      <c r="F38" s="186">
        <v>2613</v>
      </c>
      <c r="G38" s="186">
        <v>2531.1999999999998</v>
      </c>
      <c r="H38" s="186">
        <v>2484.7399999999998</v>
      </c>
      <c r="I38" s="186">
        <f>1953</f>
        <v>1953</v>
      </c>
      <c r="J38" s="186">
        <v>2219</v>
      </c>
      <c r="K38" s="187">
        <f>J38</f>
        <v>2219</v>
      </c>
      <c r="L38" s="187">
        <f t="shared" ref="L38:O39" si="36">K38</f>
        <v>2219</v>
      </c>
      <c r="M38" s="327">
        <f>L38+205+135</f>
        <v>2559</v>
      </c>
      <c r="N38" s="187">
        <f>M38+913</f>
        <v>3472</v>
      </c>
      <c r="O38" s="187">
        <f>N38</f>
        <v>3472</v>
      </c>
      <c r="P38" s="183"/>
      <c r="R38" s="340"/>
      <c r="S38" s="340"/>
      <c r="T38" s="340"/>
      <c r="U38" s="184"/>
      <c r="V38" s="184"/>
      <c r="W38" s="184"/>
      <c r="X38" s="184"/>
      <c r="Y38" s="184"/>
      <c r="Z38" s="184"/>
      <c r="AA38" s="184"/>
      <c r="AB38" s="184"/>
      <c r="AC38" s="184"/>
    </row>
    <row r="39" spans="1:29" s="141" customFormat="1" ht="15.75" customHeight="1" outlineLevel="2">
      <c r="A39" s="188" t="s">
        <v>110</v>
      </c>
      <c r="B39" s="188"/>
      <c r="C39" s="186">
        <v>691</v>
      </c>
      <c r="D39" s="186">
        <v>755</v>
      </c>
      <c r="E39" s="186">
        <v>851</v>
      </c>
      <c r="F39" s="186">
        <v>732</v>
      </c>
      <c r="G39" s="186">
        <v>716</v>
      </c>
      <c r="H39" s="186">
        <v>580</v>
      </c>
      <c r="I39" s="186">
        <v>0</v>
      </c>
      <c r="J39" s="186">
        <v>0</v>
      </c>
      <c r="K39" s="187">
        <f t="shared" ref="K39" si="37">J39</f>
        <v>0</v>
      </c>
      <c r="L39" s="187">
        <f t="shared" si="36"/>
        <v>0</v>
      </c>
      <c r="M39" s="187">
        <f t="shared" si="36"/>
        <v>0</v>
      </c>
      <c r="N39" s="187">
        <f t="shared" si="36"/>
        <v>0</v>
      </c>
      <c r="O39" s="187">
        <f t="shared" si="36"/>
        <v>0</v>
      </c>
      <c r="P39" s="183"/>
      <c r="R39" s="339"/>
      <c r="S39" s="339"/>
      <c r="T39" s="339"/>
      <c r="U39" s="184"/>
      <c r="V39" s="278"/>
      <c r="W39" s="278"/>
      <c r="X39" s="278"/>
      <c r="Y39" s="184"/>
      <c r="Z39" s="184"/>
      <c r="AA39" s="184"/>
      <c r="AB39" s="184"/>
      <c r="AC39" s="184"/>
    </row>
    <row r="40" spans="1:29" s="141" customFormat="1" ht="15.75" customHeight="1" outlineLevel="2">
      <c r="A40" s="189" t="s">
        <v>118</v>
      </c>
      <c r="B40" s="189"/>
      <c r="C40" s="190">
        <v>354</v>
      </c>
      <c r="D40" s="190">
        <v>458</v>
      </c>
      <c r="E40" s="190">
        <v>437</v>
      </c>
      <c r="F40" s="190">
        <v>363</v>
      </c>
      <c r="G40" s="190">
        <v>356</v>
      </c>
      <c r="H40" s="190">
        <v>355.29</v>
      </c>
      <c r="I40" s="190">
        <v>293</v>
      </c>
      <c r="J40" s="190">
        <v>265</v>
      </c>
      <c r="K40" s="191">
        <f>K41+K50</f>
        <v>263.18123062381852</v>
      </c>
      <c r="L40" s="191">
        <f t="shared" ref="L40:M40" si="38">L41+L50</f>
        <v>273.62932107392407</v>
      </c>
      <c r="M40" s="191">
        <f t="shared" si="38"/>
        <v>274.19988838491713</v>
      </c>
      <c r="N40" s="191">
        <f>N41+N50</f>
        <v>274.77680582762258</v>
      </c>
      <c r="O40" s="191">
        <f t="shared" ref="O40:P40" si="39">O41+O50</f>
        <v>275.36008371337789</v>
      </c>
      <c r="P40" s="183"/>
      <c r="R40" s="340"/>
      <c r="S40" s="340"/>
      <c r="T40" s="340"/>
      <c r="U40" s="184"/>
      <c r="V40" s="278"/>
      <c r="W40" s="278"/>
      <c r="X40" s="278"/>
      <c r="Y40" s="184"/>
      <c r="Z40" s="184"/>
      <c r="AA40" s="184"/>
      <c r="AB40" s="184"/>
      <c r="AC40" s="184"/>
    </row>
    <row r="41" spans="1:29" s="141" customFormat="1" ht="15.75" customHeight="1" outlineLevel="2">
      <c r="A41" s="194" t="s">
        <v>119</v>
      </c>
      <c r="B41" s="194"/>
      <c r="C41" s="190">
        <f t="shared" ref="C41:O41" si="40">C42/0.6*0.16+C43/0.46*0.16+((C44-0.18*C43/0.46)/0.46)*0.16</f>
        <v>320.99508506616257</v>
      </c>
      <c r="D41" s="190">
        <f t="shared" si="40"/>
        <v>413.80264650283556</v>
      </c>
      <c r="E41" s="190">
        <f t="shared" si="40"/>
        <v>398.98374291115317</v>
      </c>
      <c r="F41" s="190">
        <f>F42/0.6*0.16+F43/0.46*0.16+((F44-0.18*F43/0.46)/0.46)*0.16</f>
        <v>330.48468809073722</v>
      </c>
      <c r="G41" s="190">
        <f>G42/0.6*0.16+G43/0.46*0.16+((G44-0.18*G43/0.46)/0.46)*0.16</f>
        <v>311.4449905482042</v>
      </c>
      <c r="H41" s="190">
        <f>H42/0.6*0.16+H43/0.46*0.16+((H44-0.18*H43/0.46)/0.46)*0.16</f>
        <v>297.75828607435415</v>
      </c>
      <c r="I41" s="190">
        <f>I42/0.6*0.16+I43/0.46*0.16+((I44-0.18*I43/0.46)/0.46)*0.16</f>
        <v>221.96415879017013</v>
      </c>
      <c r="J41" s="190">
        <f>J42/0.6*0.16+J43/0.46*0.16+((J44-0.18*J43/0.46)/0.46)*0.16</f>
        <v>220.74051669817268</v>
      </c>
      <c r="K41" s="191">
        <f t="shared" si="40"/>
        <v>217.54174495904223</v>
      </c>
      <c r="L41" s="191">
        <f t="shared" si="40"/>
        <v>227.98983540914782</v>
      </c>
      <c r="M41" s="191">
        <f t="shared" si="40"/>
        <v>228.56040272014087</v>
      </c>
      <c r="N41" s="191">
        <f t="shared" si="40"/>
        <v>229.13732016284629</v>
      </c>
      <c r="O41" s="191">
        <f t="shared" si="40"/>
        <v>229.72059804860157</v>
      </c>
      <c r="P41" s="183"/>
      <c r="R41" s="339"/>
      <c r="S41" s="339"/>
      <c r="T41" s="339"/>
      <c r="U41" s="184"/>
      <c r="V41" s="278"/>
      <c r="W41" s="278"/>
      <c r="X41" s="278"/>
      <c r="Y41" s="184"/>
      <c r="Z41" s="184"/>
      <c r="AA41" s="184"/>
      <c r="AB41" s="184"/>
      <c r="AC41" s="184"/>
    </row>
    <row r="42" spans="1:29" s="141" customFormat="1" ht="15.75" customHeight="1" outlineLevel="2">
      <c r="A42" s="193" t="s">
        <v>276</v>
      </c>
      <c r="B42" s="193"/>
      <c r="C42" s="190">
        <v>336</v>
      </c>
      <c r="D42" s="190">
        <v>429</v>
      </c>
      <c r="E42" s="190">
        <v>456</v>
      </c>
      <c r="F42" s="190">
        <v>381</v>
      </c>
      <c r="G42" s="190">
        <v>291</v>
      </c>
      <c r="H42" s="190">
        <v>287</v>
      </c>
      <c r="I42" s="190">
        <v>237</v>
      </c>
      <c r="J42" s="190">
        <v>206</v>
      </c>
      <c r="K42" s="191">
        <f>J42</f>
        <v>206</v>
      </c>
      <c r="L42" s="191">
        <f t="shared" ref="L42:O42" si="41">K42</f>
        <v>206</v>
      </c>
      <c r="M42" s="191">
        <f t="shared" si="41"/>
        <v>206</v>
      </c>
      <c r="N42" s="191">
        <f t="shared" si="41"/>
        <v>206</v>
      </c>
      <c r="O42" s="191">
        <f t="shared" si="41"/>
        <v>206</v>
      </c>
      <c r="P42" s="183"/>
      <c r="R42" s="339"/>
      <c r="S42" s="339"/>
      <c r="T42" s="339" t="s">
        <v>319</v>
      </c>
      <c r="U42" s="184"/>
      <c r="V42" s="278"/>
      <c r="W42" s="278"/>
      <c r="X42" s="278"/>
      <c r="Y42" s="184"/>
      <c r="Z42" s="184"/>
      <c r="AA42" s="184"/>
      <c r="AB42" s="184"/>
      <c r="AC42" s="184"/>
    </row>
    <row r="43" spans="1:29" s="141" customFormat="1" ht="15.75" customHeight="1" outlineLevel="2">
      <c r="A43" s="193" t="s">
        <v>120</v>
      </c>
      <c r="B43" s="193"/>
      <c r="C43" s="190">
        <f>C24</f>
        <v>283</v>
      </c>
      <c r="D43" s="190">
        <f t="shared" ref="D43:O43" si="42">D24</f>
        <v>412</v>
      </c>
      <c r="E43" s="190">
        <f t="shared" si="42"/>
        <v>400</v>
      </c>
      <c r="F43" s="190">
        <f t="shared" si="42"/>
        <v>327</v>
      </c>
      <c r="G43" s="190">
        <f t="shared" si="42"/>
        <v>311</v>
      </c>
      <c r="H43" s="190">
        <f t="shared" si="42"/>
        <v>267</v>
      </c>
      <c r="I43" s="190">
        <f t="shared" si="42"/>
        <v>194</v>
      </c>
      <c r="J43" s="190">
        <f t="shared" si="42"/>
        <v>218</v>
      </c>
      <c r="K43" s="191">
        <f t="shared" si="42"/>
        <v>218</v>
      </c>
      <c r="L43" s="191">
        <f t="shared" si="42"/>
        <v>247.21758768168925</v>
      </c>
      <c r="M43" s="191">
        <f t="shared" si="42"/>
        <v>248.53783712049994</v>
      </c>
      <c r="N43" s="191">
        <f t="shared" si="42"/>
        <v>249.87278028197579</v>
      </c>
      <c r="O43" s="191">
        <f t="shared" si="42"/>
        <v>251.2224410257692</v>
      </c>
      <c r="P43" s="183"/>
      <c r="U43" s="340" t="s">
        <v>322</v>
      </c>
      <c r="V43" s="278"/>
      <c r="W43" s="278"/>
      <c r="X43" s="278"/>
      <c r="Y43" s="184"/>
      <c r="Z43" s="184"/>
      <c r="AA43" s="184"/>
      <c r="AB43" s="184"/>
      <c r="AC43" s="184"/>
    </row>
    <row r="44" spans="1:29" s="141" customFormat="1" ht="15.75" customHeight="1" outlineLevel="2">
      <c r="A44" s="193" t="s">
        <v>121</v>
      </c>
      <c r="B44" s="193"/>
      <c r="C44" s="190">
        <v>493</v>
      </c>
      <c r="D44" s="190">
        <v>610</v>
      </c>
      <c r="E44" s="190">
        <v>554</v>
      </c>
      <c r="F44" s="190">
        <v>459</v>
      </c>
      <c r="G44" s="190">
        <v>483</v>
      </c>
      <c r="H44" s="190">
        <v>473.5</v>
      </c>
      <c r="I44" s="190">
        <v>338.36</v>
      </c>
      <c r="J44" s="190">
        <v>344</v>
      </c>
      <c r="K44" s="191">
        <f>K45+K49</f>
        <v>334.80353124999999</v>
      </c>
      <c r="L44" s="191">
        <f t="shared" ref="L44:M44" si="43">L45+L49</f>
        <v>347.05717270519921</v>
      </c>
      <c r="M44" s="191">
        <f t="shared" si="43"/>
        <v>347.89392363111523</v>
      </c>
      <c r="N44" s="191">
        <f>N45+N49</f>
        <v>348.73998718060358</v>
      </c>
      <c r="O44" s="191">
        <f>O45+O49</f>
        <v>349.59537847549319</v>
      </c>
      <c r="P44" s="183"/>
      <c r="R44" s="339"/>
      <c r="S44" s="339"/>
      <c r="T44" s="339"/>
      <c r="U44" s="184"/>
      <c r="V44" s="278"/>
      <c r="W44" s="278"/>
      <c r="X44" s="278"/>
      <c r="Y44" s="184"/>
      <c r="Z44" s="184"/>
      <c r="AA44" s="184"/>
      <c r="AB44" s="184"/>
      <c r="AC44" s="184"/>
    </row>
    <row r="45" spans="1:29" s="141" customFormat="1" ht="15.75" customHeight="1" outlineLevel="2">
      <c r="A45" s="195" t="s">
        <v>122</v>
      </c>
      <c r="B45" s="195"/>
      <c r="C45" s="190">
        <f t="shared" ref="C45:L45" si="44">0.23*C46+AVERAGE(1.65,1.9)*C47+0.44*C48+40+15</f>
        <v>401.31</v>
      </c>
      <c r="D45" s="190">
        <f t="shared" si="44"/>
        <v>579.38499999999999</v>
      </c>
      <c r="E45" s="190">
        <f t="shared" si="44"/>
        <v>584.83500000000004</v>
      </c>
      <c r="F45" s="190">
        <f t="shared" si="44"/>
        <v>471.96999999999997</v>
      </c>
      <c r="G45" s="190">
        <f>0.23*G46+AVERAGE(1.65,1.9)*G47+0.44*G48+40+15</f>
        <v>429.26</v>
      </c>
      <c r="H45" s="190">
        <f>0.23*H46+AVERAGE(1.65,1.9)*H47+0.44*H48+40+15</f>
        <v>417.97899999999998</v>
      </c>
      <c r="I45" s="190">
        <f>0.23*I46+AVERAGE(1.65,1.9)*I47+0.44*I48+40+15</f>
        <v>334.25024999999999</v>
      </c>
      <c r="J45" s="190">
        <f>0.23*J46+AVERAGE(1.65,1.9)*J47+0.44*J48+40+15</f>
        <v>311.92249999999996</v>
      </c>
      <c r="K45" s="191">
        <f t="shared" si="44"/>
        <v>306.81</v>
      </c>
      <c r="L45" s="191">
        <f t="shared" si="44"/>
        <v>319.06364145519922</v>
      </c>
      <c r="M45" s="191">
        <f>0.23*M46+AVERAGE(1.65,1.9)*M47+0.44*M48+40+15</f>
        <v>319.90039238111524</v>
      </c>
      <c r="N45" s="191">
        <f>0.23*N46+AVERAGE(1.65,1.9)*N47+0.44*N48+40+15</f>
        <v>320.74645593060359</v>
      </c>
      <c r="O45" s="191">
        <f>0.23*O46+AVERAGE(1.65,1.9)*O47+0.44*O48+40+15</f>
        <v>321.6018472254932</v>
      </c>
      <c r="P45" s="183"/>
      <c r="R45" s="339"/>
      <c r="S45" s="339"/>
      <c r="T45" s="339"/>
      <c r="U45" s="184"/>
      <c r="V45" s="278"/>
      <c r="W45" s="278"/>
      <c r="X45" s="278"/>
      <c r="Y45" s="184"/>
      <c r="Z45" s="184"/>
      <c r="AA45" s="184"/>
      <c r="AB45" s="184"/>
      <c r="AC45" s="184"/>
    </row>
    <row r="46" spans="1:29" s="141" customFormat="1" ht="15.75" customHeight="1" outlineLevel="2">
      <c r="A46" s="196" t="s">
        <v>123</v>
      </c>
      <c r="B46" s="196"/>
      <c r="C46" s="190">
        <f t="shared" ref="C46:I46" si="45">C19</f>
        <v>367</v>
      </c>
      <c r="D46" s="190">
        <f t="shared" si="45"/>
        <v>527</v>
      </c>
      <c r="E46" s="190">
        <f t="shared" si="45"/>
        <v>560</v>
      </c>
      <c r="F46" s="190">
        <f t="shared" si="45"/>
        <v>489</v>
      </c>
      <c r="G46" s="190">
        <f t="shared" si="45"/>
        <v>499</v>
      </c>
      <c r="H46" s="190">
        <f t="shared" si="45"/>
        <v>389.8</v>
      </c>
      <c r="I46" s="190">
        <f t="shared" si="45"/>
        <v>237</v>
      </c>
      <c r="J46" s="190">
        <f>J19</f>
        <v>267</v>
      </c>
      <c r="K46" s="191">
        <f>K19</f>
        <v>267</v>
      </c>
      <c r="L46" s="191">
        <f t="shared" ref="L46:O46" si="46">L19</f>
        <v>320.2767019791271</v>
      </c>
      <c r="M46" s="191">
        <f t="shared" si="46"/>
        <v>323.91474948310974</v>
      </c>
      <c r="N46" s="191">
        <f t="shared" si="46"/>
        <v>327.59328665479819</v>
      </c>
      <c r="O46" s="191">
        <f t="shared" si="46"/>
        <v>331.31237924127493</v>
      </c>
      <c r="P46" s="183"/>
      <c r="R46" s="339"/>
      <c r="S46" s="339"/>
      <c r="T46" s="339"/>
      <c r="U46" s="184"/>
      <c r="V46" s="278"/>
      <c r="W46" s="278"/>
      <c r="X46" s="278"/>
      <c r="Y46" s="184"/>
      <c r="Z46" s="184"/>
      <c r="AA46" s="184"/>
      <c r="AB46" s="184"/>
      <c r="AC46" s="184"/>
    </row>
    <row r="47" spans="1:29" s="141" customFormat="1" ht="15.75" customHeight="1" outlineLevel="2">
      <c r="A47" s="196" t="s">
        <v>124</v>
      </c>
      <c r="B47" s="196"/>
      <c r="C47" s="190">
        <v>124</v>
      </c>
      <c r="D47" s="190">
        <v>185</v>
      </c>
      <c r="E47" s="190">
        <v>189</v>
      </c>
      <c r="F47" s="190">
        <v>148</v>
      </c>
      <c r="G47" s="190">
        <v>110</v>
      </c>
      <c r="H47" s="190">
        <v>123</v>
      </c>
      <c r="I47" s="190">
        <v>109.51</v>
      </c>
      <c r="J47" s="190">
        <v>92.3</v>
      </c>
      <c r="K47" s="405">
        <v>80</v>
      </c>
      <c r="L47" s="191">
        <f t="shared" ref="L47:O50" si="47">K47</f>
        <v>80</v>
      </c>
      <c r="M47" s="191">
        <f t="shared" si="47"/>
        <v>80</v>
      </c>
      <c r="N47" s="191">
        <f t="shared" si="47"/>
        <v>80</v>
      </c>
      <c r="O47" s="191">
        <f t="shared" si="47"/>
        <v>80</v>
      </c>
      <c r="P47" s="183"/>
      <c r="U47" s="184" t="s">
        <v>321</v>
      </c>
      <c r="V47" s="278"/>
      <c r="W47" s="278"/>
      <c r="X47" s="278"/>
      <c r="Y47" s="184"/>
      <c r="Z47" s="184"/>
      <c r="AA47" s="184"/>
      <c r="AB47" s="184"/>
      <c r="AC47" s="184"/>
    </row>
    <row r="48" spans="1:29" s="141" customFormat="1" ht="15.75" customHeight="1" outlineLevel="2">
      <c r="A48" s="196" t="s">
        <v>275</v>
      </c>
      <c r="B48" s="196"/>
      <c r="C48" s="190">
        <v>95</v>
      </c>
      <c r="D48" s="190">
        <v>170</v>
      </c>
      <c r="E48" s="190">
        <v>149</v>
      </c>
      <c r="F48" s="190">
        <v>95</v>
      </c>
      <c r="G48" s="190">
        <v>146</v>
      </c>
      <c r="H48" s="190">
        <v>125</v>
      </c>
      <c r="I48" s="190">
        <v>69</v>
      </c>
      <c r="J48" s="190">
        <v>72</v>
      </c>
      <c r="K48" s="405">
        <v>110</v>
      </c>
      <c r="L48" s="191">
        <f t="shared" si="47"/>
        <v>110</v>
      </c>
      <c r="M48" s="191">
        <f t="shared" si="47"/>
        <v>110</v>
      </c>
      <c r="N48" s="191">
        <f t="shared" si="47"/>
        <v>110</v>
      </c>
      <c r="O48" s="191">
        <f t="shared" si="47"/>
        <v>110</v>
      </c>
      <c r="P48" s="183" t="s">
        <v>211</v>
      </c>
      <c r="R48" s="339"/>
      <c r="S48" s="339"/>
      <c r="T48" s="339"/>
      <c r="U48" s="184"/>
      <c r="V48" s="278"/>
      <c r="W48" s="278"/>
      <c r="X48" s="278"/>
      <c r="Y48" s="184"/>
      <c r="Z48" s="184"/>
      <c r="AA48" s="184"/>
      <c r="AB48" s="184"/>
      <c r="AC48" s="184"/>
    </row>
    <row r="49" spans="1:29" s="141" customFormat="1" ht="15.75" customHeight="1" outlineLevel="2">
      <c r="A49" s="193" t="s">
        <v>125</v>
      </c>
      <c r="B49" s="193"/>
      <c r="C49" s="190">
        <f t="shared" ref="C49:I49" si="48">C44-C45</f>
        <v>91.69</v>
      </c>
      <c r="D49" s="190">
        <f t="shared" si="48"/>
        <v>30.615000000000009</v>
      </c>
      <c r="E49" s="190">
        <f t="shared" si="48"/>
        <v>-30.835000000000036</v>
      </c>
      <c r="F49" s="190">
        <f t="shared" si="48"/>
        <v>-12.96999999999997</v>
      </c>
      <c r="G49" s="190">
        <f t="shared" si="48"/>
        <v>53.740000000000009</v>
      </c>
      <c r="H49" s="190">
        <f t="shared" si="48"/>
        <v>55.521000000000015</v>
      </c>
      <c r="I49" s="190">
        <f>I44-I45</f>
        <v>4.1097500000000196</v>
      </c>
      <c r="J49" s="190">
        <f>J44-J45</f>
        <v>32.077500000000043</v>
      </c>
      <c r="K49" s="191">
        <f>AVERAGE(C49:J49)</f>
        <v>27.993531250000011</v>
      </c>
      <c r="L49" s="191">
        <f t="shared" si="47"/>
        <v>27.993531250000011</v>
      </c>
      <c r="M49" s="191">
        <f t="shared" si="47"/>
        <v>27.993531250000011</v>
      </c>
      <c r="N49" s="191">
        <f t="shared" si="47"/>
        <v>27.993531250000011</v>
      </c>
      <c r="O49" s="191">
        <f t="shared" si="47"/>
        <v>27.993531250000011</v>
      </c>
      <c r="P49" s="183"/>
      <c r="R49" s="339"/>
      <c r="S49" s="339"/>
      <c r="T49" s="339"/>
      <c r="U49" s="184"/>
      <c r="V49" s="278"/>
      <c r="W49" s="278"/>
      <c r="X49" s="278"/>
      <c r="Y49" s="184"/>
      <c r="Z49" s="184"/>
      <c r="AA49" s="184"/>
      <c r="AB49" s="184"/>
      <c r="AC49" s="184"/>
    </row>
    <row r="50" spans="1:29" s="141" customFormat="1" ht="15.75" customHeight="1" outlineLevel="2">
      <c r="A50" s="194" t="s">
        <v>126</v>
      </c>
      <c r="B50" s="194"/>
      <c r="C50" s="190">
        <f t="shared" ref="C50:I50" si="49">C40-C41</f>
        <v>33.004914933837426</v>
      </c>
      <c r="D50" s="190">
        <f t="shared" si="49"/>
        <v>44.197353497164443</v>
      </c>
      <c r="E50" s="190">
        <f t="shared" si="49"/>
        <v>38.016257088846828</v>
      </c>
      <c r="F50" s="190">
        <f t="shared" si="49"/>
        <v>32.515311909262778</v>
      </c>
      <c r="G50" s="190">
        <f t="shared" si="49"/>
        <v>44.555009451795797</v>
      </c>
      <c r="H50" s="190">
        <f t="shared" si="49"/>
        <v>57.531713925645874</v>
      </c>
      <c r="I50" s="190">
        <f>I40-I41</f>
        <v>71.035841209829869</v>
      </c>
      <c r="J50" s="190">
        <f>J40-J41</f>
        <v>44.259483301827316</v>
      </c>
      <c r="K50" s="191">
        <f>AVERAGE(C50:J50)</f>
        <v>45.639485664776288</v>
      </c>
      <c r="L50" s="191">
        <f t="shared" si="47"/>
        <v>45.639485664776288</v>
      </c>
      <c r="M50" s="191">
        <f t="shared" si="47"/>
        <v>45.639485664776288</v>
      </c>
      <c r="N50" s="191">
        <f t="shared" si="47"/>
        <v>45.639485664776288</v>
      </c>
      <c r="O50" s="191">
        <f t="shared" si="47"/>
        <v>45.639485664776288</v>
      </c>
      <c r="P50" s="183"/>
      <c r="R50" s="339"/>
      <c r="S50" s="339"/>
      <c r="T50" s="339"/>
      <c r="U50" s="184"/>
      <c r="V50" s="278"/>
      <c r="W50" s="278"/>
      <c r="X50" s="278"/>
      <c r="Y50" s="184"/>
      <c r="Z50" s="184"/>
      <c r="AA50" s="184"/>
      <c r="AB50" s="184"/>
      <c r="AC50" s="184"/>
    </row>
    <row r="51" spans="1:29" s="141" customFormat="1" ht="15.75" customHeight="1" outlineLevel="1">
      <c r="A51" s="180" t="s">
        <v>127</v>
      </c>
      <c r="B51" s="180"/>
      <c r="C51" s="181">
        <f t="shared" ref="C51:I51" si="50">C9-C15-C20-C37-C56</f>
        <v>95.281272068511157</v>
      </c>
      <c r="D51" s="181">
        <f t="shared" si="50"/>
        <v>254.15951088435372</v>
      </c>
      <c r="E51" s="181">
        <f t="shared" si="50"/>
        <v>384.92542451952545</v>
      </c>
      <c r="F51" s="181">
        <f t="shared" si="50"/>
        <v>405.04416387831526</v>
      </c>
      <c r="G51" s="181">
        <f t="shared" si="50"/>
        <v>259.96084652571915</v>
      </c>
      <c r="H51" s="181">
        <f t="shared" si="50"/>
        <v>221.25036813961009</v>
      </c>
      <c r="I51" s="181">
        <f>I9-I15-I20-I37-I56</f>
        <v>127.50211781951165</v>
      </c>
      <c r="J51" s="181">
        <f>J9-J15-J20-J37-J56</f>
        <v>145.12705441319503</v>
      </c>
      <c r="K51" s="182">
        <f t="shared" ref="K51:M51" si="51">J9*K52</f>
        <v>154.92762662651899</v>
      </c>
      <c r="L51" s="182">
        <f t="shared" si="51"/>
        <v>154.0345829049165</v>
      </c>
      <c r="M51" s="182">
        <f t="shared" si="51"/>
        <v>170.91214473286379</v>
      </c>
      <c r="N51" s="182">
        <f>M9*N52</f>
        <v>187.47530715338635</v>
      </c>
      <c r="O51" s="182">
        <f>N9*O52</f>
        <v>211.00529699966762</v>
      </c>
      <c r="P51" s="183" t="s">
        <v>128</v>
      </c>
      <c r="R51" s="340"/>
      <c r="S51" s="340"/>
      <c r="T51" s="340"/>
      <c r="U51" s="184"/>
      <c r="V51" s="278"/>
      <c r="W51" s="278"/>
      <c r="X51" s="278"/>
      <c r="Y51" s="184"/>
      <c r="Z51" s="184"/>
      <c r="AA51" s="184"/>
      <c r="AB51" s="184"/>
      <c r="AC51" s="184"/>
    </row>
    <row r="52" spans="1:29" s="141" customFormat="1" ht="15.75" customHeight="1" outlineLevel="1">
      <c r="A52" s="189" t="s">
        <v>183</v>
      </c>
      <c r="B52" s="194"/>
      <c r="C52" s="331">
        <f>C51/C9</f>
        <v>6.5014146177012594E-2</v>
      </c>
      <c r="D52" s="331">
        <f t="shared" ref="D52:I52" si="52">D51/AVERAGE(C9:D9)</f>
        <v>0.14066932742119478</v>
      </c>
      <c r="E52" s="331">
        <f t="shared" si="52"/>
        <v>0.17592377971722192</v>
      </c>
      <c r="F52" s="331">
        <f t="shared" si="52"/>
        <v>0.18850621477971169</v>
      </c>
      <c r="G52" s="331">
        <f t="shared" si="52"/>
        <v>0.1326428222149092</v>
      </c>
      <c r="H52" s="331">
        <f t="shared" si="52"/>
        <v>0.1260718109579673</v>
      </c>
      <c r="I52" s="331">
        <f t="shared" si="52"/>
        <v>8.6825304717134288E-2</v>
      </c>
      <c r="J52" s="331">
        <f>J51/AVERAGE(I9:J9)</f>
        <v>0.10268410674587887</v>
      </c>
      <c r="K52" s="332">
        <v>0.1</v>
      </c>
      <c r="L52" s="332">
        <f t="shared" ref="L52:O52" si="53">K52</f>
        <v>0.1</v>
      </c>
      <c r="M52" s="332">
        <f t="shared" si="53"/>
        <v>0.1</v>
      </c>
      <c r="N52" s="332">
        <f t="shared" si="53"/>
        <v>0.1</v>
      </c>
      <c r="O52" s="332">
        <f t="shared" si="53"/>
        <v>0.1</v>
      </c>
      <c r="P52" s="183"/>
      <c r="R52" s="340"/>
      <c r="S52" s="340"/>
      <c r="T52" s="340"/>
      <c r="U52" s="184"/>
      <c r="V52" s="278"/>
      <c r="W52" s="278"/>
      <c r="X52" s="278"/>
      <c r="Y52" s="184"/>
      <c r="Z52" s="184"/>
      <c r="AA52" s="184"/>
      <c r="AB52" s="184"/>
      <c r="AC52" s="184"/>
    </row>
    <row r="53" spans="1:29" s="141" customFormat="1" ht="15.75" customHeight="1" outlineLevel="1">
      <c r="A53" s="180" t="s">
        <v>285</v>
      </c>
      <c r="B53" s="180"/>
      <c r="C53" s="181">
        <f>C54*C55/1000</f>
        <v>0</v>
      </c>
      <c r="D53" s="181">
        <f t="shared" ref="D53:M53" si="54">D54*D55/1000</f>
        <v>0</v>
      </c>
      <c r="E53" s="181">
        <f t="shared" si="54"/>
        <v>0</v>
      </c>
      <c r="F53" s="181">
        <f t="shared" si="54"/>
        <v>0</v>
      </c>
      <c r="G53" s="181">
        <f t="shared" si="54"/>
        <v>0</v>
      </c>
      <c r="H53" s="181">
        <f t="shared" si="54"/>
        <v>0</v>
      </c>
      <c r="I53" s="181">
        <f t="shared" si="54"/>
        <v>0</v>
      </c>
      <c r="J53" s="181">
        <f t="shared" si="54"/>
        <v>0</v>
      </c>
      <c r="K53" s="182">
        <f t="shared" si="54"/>
        <v>0</v>
      </c>
      <c r="L53" s="182">
        <f t="shared" si="54"/>
        <v>0</v>
      </c>
      <c r="M53" s="182">
        <f t="shared" si="54"/>
        <v>0</v>
      </c>
      <c r="N53" s="182">
        <f>N54*N55/1000</f>
        <v>0</v>
      </c>
      <c r="O53" s="182">
        <f>O54*O55/1000</f>
        <v>0</v>
      </c>
      <c r="P53" s="183"/>
      <c r="R53" s="340"/>
      <c r="S53" s="340"/>
      <c r="T53" s="340"/>
      <c r="U53" s="184"/>
      <c r="V53" s="278"/>
      <c r="W53" s="278"/>
      <c r="X53" s="278"/>
      <c r="Y53" s="184"/>
      <c r="Z53" s="184"/>
      <c r="AA53" s="184"/>
      <c r="AB53" s="184"/>
      <c r="AC53" s="184"/>
    </row>
    <row r="54" spans="1:29" s="141" customFormat="1" ht="15.75" customHeight="1" outlineLevel="1">
      <c r="A54" s="185" t="s">
        <v>109</v>
      </c>
      <c r="B54" s="197"/>
      <c r="C54" s="186">
        <v>0</v>
      </c>
      <c r="D54" s="186">
        <v>0</v>
      </c>
      <c r="E54" s="186">
        <v>0</v>
      </c>
      <c r="F54" s="186">
        <v>0</v>
      </c>
      <c r="G54" s="186">
        <v>0</v>
      </c>
      <c r="H54" s="186">
        <v>0</v>
      </c>
      <c r="I54" s="186">
        <v>0</v>
      </c>
      <c r="J54" s="186">
        <v>0</v>
      </c>
      <c r="K54" s="187">
        <v>0</v>
      </c>
      <c r="L54" s="187">
        <v>0</v>
      </c>
      <c r="M54" s="187">
        <v>0</v>
      </c>
      <c r="N54" s="327">
        <v>0</v>
      </c>
      <c r="O54" s="327">
        <v>0</v>
      </c>
      <c r="P54" s="183"/>
      <c r="R54" s="340"/>
      <c r="S54" s="340"/>
      <c r="T54" s="340"/>
      <c r="U54" s="184"/>
      <c r="V54" s="278"/>
      <c r="W54" s="278"/>
      <c r="X54" s="278"/>
      <c r="Y54" s="184"/>
      <c r="Z54" s="184"/>
      <c r="AA54" s="184"/>
      <c r="AB54" s="184"/>
      <c r="AC54" s="184"/>
    </row>
    <row r="55" spans="1:29" s="141" customFormat="1" ht="15.75" customHeight="1" outlineLevel="1">
      <c r="A55" s="189" t="s">
        <v>121</v>
      </c>
      <c r="B55" s="197"/>
      <c r="C55" s="190">
        <v>448.66600790513837</v>
      </c>
      <c r="D55" s="190">
        <v>585.35714285714289</v>
      </c>
      <c r="E55" s="190">
        <v>573.35093197695005</v>
      </c>
      <c r="F55" s="190">
        <v>475.72539328838297</v>
      </c>
      <c r="G55" s="190">
        <v>454.96915345103275</v>
      </c>
      <c r="H55" s="190">
        <v>443.73290990133887</v>
      </c>
      <c r="I55" s="190">
        <v>338</v>
      </c>
      <c r="J55" s="190">
        <v>344</v>
      </c>
      <c r="K55" s="353">
        <f>J55*K44/J44</f>
        <v>334.80353124999999</v>
      </c>
      <c r="L55" s="353">
        <f t="shared" ref="L55:O55" si="55">K55*L44/K44</f>
        <v>347.05717270519921</v>
      </c>
      <c r="M55" s="353">
        <f t="shared" si="55"/>
        <v>347.89392363111523</v>
      </c>
      <c r="N55" s="353">
        <f t="shared" si="55"/>
        <v>348.73998718060358</v>
      </c>
      <c r="O55" s="353">
        <f t="shared" si="55"/>
        <v>349.59537847549319</v>
      </c>
      <c r="P55" s="183"/>
      <c r="R55" s="340"/>
      <c r="S55" s="340"/>
      <c r="T55" s="340"/>
      <c r="U55" s="184"/>
      <c r="V55" s="278"/>
      <c r="W55" s="278"/>
      <c r="X55" s="278"/>
      <c r="Y55" s="184"/>
      <c r="Z55" s="184"/>
      <c r="AA55" s="184"/>
      <c r="AB55" s="184"/>
      <c r="AC55" s="184"/>
    </row>
    <row r="56" spans="1:29" s="141" customFormat="1" ht="15.75" customHeight="1" outlineLevel="1">
      <c r="A56" s="180" t="s">
        <v>129</v>
      </c>
      <c r="B56" s="180"/>
      <c r="C56" s="181">
        <f>(C57+C58)*C59*C$7/1000</f>
        <v>0</v>
      </c>
      <c r="D56" s="181">
        <f>(D57+D58)*D59*D$7/1000</f>
        <v>0</v>
      </c>
      <c r="E56" s="181">
        <f>(E57+E58)*E59*E$7/1000</f>
        <v>0</v>
      </c>
      <c r="F56" s="181">
        <f t="shared" ref="F56:O56" si="56">(F57+F58)*F59/1000</f>
        <v>2.2075378917072301</v>
      </c>
      <c r="G56" s="181">
        <f t="shared" si="56"/>
        <v>27.113636182020965</v>
      </c>
      <c r="H56" s="181">
        <f t="shared" si="56"/>
        <v>50.532361745622843</v>
      </c>
      <c r="I56" s="181">
        <f>(I57+I58)*I59/1000</f>
        <v>49.123426249999994</v>
      </c>
      <c r="J56" s="181">
        <f>(J57+J58)*J59/1000</f>
        <v>31.854711851994622</v>
      </c>
      <c r="K56" s="182">
        <f t="shared" si="56"/>
        <v>27.609717748207704</v>
      </c>
      <c r="L56" s="182">
        <f t="shared" si="56"/>
        <v>49.471687563703007</v>
      </c>
      <c r="M56" s="182">
        <f t="shared" si="56"/>
        <v>42.534000764408525</v>
      </c>
      <c r="N56" s="182">
        <f t="shared" si="56"/>
        <v>24.523120123007896</v>
      </c>
      <c r="O56" s="182">
        <f t="shared" si="56"/>
        <v>24.523120123007896</v>
      </c>
      <c r="P56" s="183"/>
      <c r="R56" s="339"/>
      <c r="S56" s="339"/>
      <c r="T56" s="339"/>
      <c r="U56" s="184"/>
      <c r="V56" s="278"/>
      <c r="W56" s="278"/>
      <c r="X56" s="278"/>
      <c r="Y56" s="184"/>
      <c r="Z56" s="184"/>
      <c r="AA56" s="184"/>
      <c r="AB56" s="184"/>
      <c r="AC56" s="184"/>
    </row>
    <row r="57" spans="1:29" s="141" customFormat="1" ht="15.75" customHeight="1" outlineLevel="2">
      <c r="A57" s="197" t="s">
        <v>109</v>
      </c>
      <c r="B57" s="197"/>
      <c r="C57" s="186">
        <v>0</v>
      </c>
      <c r="D57" s="186">
        <v>0</v>
      </c>
      <c r="E57" s="186">
        <v>21</v>
      </c>
      <c r="F57" s="186">
        <v>642</v>
      </c>
      <c r="G57" s="186">
        <v>891</v>
      </c>
      <c r="H57" s="186">
        <v>1135.232</v>
      </c>
      <c r="I57" s="186">
        <v>1142</v>
      </c>
      <c r="J57" s="186">
        <v>1167</v>
      </c>
      <c r="K57" s="327">
        <f>J57</f>
        <v>1167</v>
      </c>
      <c r="L57" s="327">
        <v>1380</v>
      </c>
      <c r="M57" s="327">
        <v>1450</v>
      </c>
      <c r="N57" s="327">
        <v>1644</v>
      </c>
      <c r="O57" s="422">
        <f>N57</f>
        <v>1644</v>
      </c>
      <c r="P57" s="183"/>
      <c r="R57" s="340"/>
      <c r="S57" s="340"/>
      <c r="T57" s="340"/>
      <c r="U57" s="184"/>
      <c r="V57" s="278"/>
      <c r="W57" s="278"/>
      <c r="X57" s="278"/>
      <c r="Y57" s="184"/>
      <c r="Z57" s="184"/>
      <c r="AA57" s="184"/>
      <c r="AB57" s="184"/>
      <c r="AC57" s="184"/>
    </row>
    <row r="58" spans="1:29" s="141" customFormat="1" ht="15.75" customHeight="1" outlineLevel="2">
      <c r="A58" s="197" t="s">
        <v>130</v>
      </c>
      <c r="B58" s="197"/>
      <c r="C58" s="186">
        <v>0</v>
      </c>
      <c r="D58" s="186">
        <v>0</v>
      </c>
      <c r="E58" s="186">
        <v>-21</v>
      </c>
      <c r="F58" s="186">
        <v>-630</v>
      </c>
      <c r="G58" s="186">
        <v>-718</v>
      </c>
      <c r="H58" s="186">
        <v>-774.87529099999995</v>
      </c>
      <c r="I58" s="186">
        <v>-803.21775000000002</v>
      </c>
      <c r="J58" s="186">
        <v>-898</v>
      </c>
      <c r="K58" s="187">
        <f>-(K38-K39)*K73-1.4228*K54</f>
        <v>-897.99999999999989</v>
      </c>
      <c r="L58" s="187">
        <f>-(L38-L39)*L73-1.4228*L54</f>
        <v>-897.99999999999989</v>
      </c>
      <c r="M58" s="187">
        <f>-(M38-M39)*M73-1.4228*M54</f>
        <v>-1035.5935105903559</v>
      </c>
      <c r="N58" s="327">
        <f>-(N38-N39)*N73-1.0833*N54</f>
        <v>-1405.0725552050471</v>
      </c>
      <c r="O58" s="327">
        <f>-(O38-O39)*O73-1.0833*O54</f>
        <v>-1405.0725552050471</v>
      </c>
      <c r="P58" s="183"/>
      <c r="R58" s="339"/>
      <c r="S58" s="339"/>
      <c r="T58" s="339"/>
      <c r="U58" s="184"/>
      <c r="V58" s="278"/>
      <c r="W58" s="278"/>
      <c r="X58" s="278"/>
      <c r="Y58" s="184"/>
      <c r="Z58" s="184"/>
      <c r="AA58" s="184"/>
      <c r="AB58" s="184"/>
      <c r="AC58" s="184"/>
    </row>
    <row r="59" spans="1:29" s="141" customFormat="1" ht="15.75" customHeight="1" outlineLevel="2">
      <c r="A59" s="194" t="s">
        <v>131</v>
      </c>
      <c r="B59" s="194"/>
      <c r="C59" s="190">
        <v>0</v>
      </c>
      <c r="D59" s="190">
        <v>0</v>
      </c>
      <c r="E59" s="190">
        <v>0</v>
      </c>
      <c r="F59" s="190">
        <v>183.96149097560252</v>
      </c>
      <c r="G59" s="190">
        <v>156.7262207053235</v>
      </c>
      <c r="H59" s="190">
        <v>140.22872471516229</v>
      </c>
      <c r="I59" s="190">
        <v>145</v>
      </c>
      <c r="J59" s="321">
        <f>J47*J60</f>
        <v>118.41900316726625</v>
      </c>
      <c r="K59" s="191">
        <f>K47*K60</f>
        <v>102.63835594129253</v>
      </c>
      <c r="L59" s="191">
        <f>L47*L60</f>
        <v>102.63835594129253</v>
      </c>
      <c r="M59" s="191">
        <f>M47*M60</f>
        <v>102.63835594129253</v>
      </c>
      <c r="N59" s="191">
        <f>N47*N60</f>
        <v>102.63835594129253</v>
      </c>
      <c r="O59" s="191">
        <f>O47*O60</f>
        <v>102.63835594129253</v>
      </c>
      <c r="P59" s="183"/>
      <c r="R59" s="339"/>
      <c r="S59" s="339"/>
      <c r="T59" s="339"/>
      <c r="U59" s="184"/>
      <c r="V59" s="278"/>
      <c r="W59" s="278"/>
      <c r="X59" s="278"/>
      <c r="Y59" s="184"/>
      <c r="Z59" s="184"/>
      <c r="AA59" s="184"/>
      <c r="AB59" s="184"/>
      <c r="AC59" s="184"/>
    </row>
    <row r="60" spans="1:29" s="141" customFormat="1" ht="15.75" customHeight="1" outlineLevel="2">
      <c r="A60" s="328" t="s">
        <v>277</v>
      </c>
      <c r="B60" s="194"/>
      <c r="C60" s="329"/>
      <c r="D60" s="329"/>
      <c r="E60" s="329"/>
      <c r="F60" s="329">
        <f>F59/F47</f>
        <v>1.2429830471324494</v>
      </c>
      <c r="G60" s="329">
        <f>G59/G47</f>
        <v>1.42478382459385</v>
      </c>
      <c r="H60" s="329">
        <f>H59/H47</f>
        <v>1.1400709326435958</v>
      </c>
      <c r="I60" s="329">
        <f>I59/I47</f>
        <v>1.3240799926947311</v>
      </c>
      <c r="J60" s="419">
        <f>AVERAGE(F60:I60)</f>
        <v>1.2829794492661566</v>
      </c>
      <c r="K60" s="330">
        <f>J60</f>
        <v>1.2829794492661566</v>
      </c>
      <c r="L60" s="330">
        <f t="shared" ref="L60:O60" si="57">K60</f>
        <v>1.2829794492661566</v>
      </c>
      <c r="M60" s="330">
        <f t="shared" si="57"/>
        <v>1.2829794492661566</v>
      </c>
      <c r="N60" s="330">
        <f t="shared" si="57"/>
        <v>1.2829794492661566</v>
      </c>
      <c r="O60" s="330">
        <f t="shared" si="57"/>
        <v>1.2829794492661566</v>
      </c>
      <c r="P60" s="183"/>
      <c r="R60" s="339"/>
      <c r="S60" s="339"/>
      <c r="T60" s="339"/>
      <c r="U60" s="184"/>
      <c r="V60" s="278"/>
      <c r="W60" s="278"/>
      <c r="X60" s="278"/>
      <c r="Y60" s="184"/>
      <c r="Z60" s="184"/>
      <c r="AA60" s="184"/>
      <c r="AB60" s="184"/>
      <c r="AC60" s="184"/>
    </row>
    <row r="61" spans="1:29" ht="15.75">
      <c r="A61" s="173" t="s">
        <v>50</v>
      </c>
      <c r="B61" s="173"/>
      <c r="C61" s="174">
        <f>C63+C68+C70+C77+C85+C90+C95+C97+C99+C104+C107+C110+C111</f>
        <v>-1176.0210803689065</v>
      </c>
      <c r="D61" s="174">
        <f t="shared" ref="D61:O61" si="58">D63+D68+D70+D77+D85+D90+D95+D97+D99+D104+D107+D110+D111</f>
        <v>-1524.6598639455783</v>
      </c>
      <c r="E61" s="174">
        <f t="shared" si="58"/>
        <v>-1634.2272156585004</v>
      </c>
      <c r="F61" s="174">
        <f t="shared" si="58"/>
        <v>-1659.9610846095907</v>
      </c>
      <c r="G61" s="174">
        <f t="shared" si="58"/>
        <v>-1418.8454568987834</v>
      </c>
      <c r="H61" s="174">
        <f t="shared" si="58"/>
        <v>-1070.2834193169203</v>
      </c>
      <c r="I61" s="174">
        <f t="shared" si="58"/>
        <v>-914.63164298537333</v>
      </c>
      <c r="J61" s="174">
        <f t="shared" si="58"/>
        <v>-1178.6041509839768</v>
      </c>
      <c r="K61" s="175">
        <f t="shared" si="58"/>
        <v>-1175.7278982230689</v>
      </c>
      <c r="L61" s="175">
        <f t="shared" si="58"/>
        <v>-1208.0015243797818</v>
      </c>
      <c r="M61" s="175">
        <f t="shared" si="58"/>
        <v>-1288.1426857751298</v>
      </c>
      <c r="N61" s="175">
        <f t="shared" si="58"/>
        <v>-1389.1198377609737</v>
      </c>
      <c r="O61" s="175">
        <f t="shared" si="58"/>
        <v>-1383.462539506384</v>
      </c>
      <c r="P61" s="164"/>
      <c r="R61" s="172"/>
      <c r="S61" s="172"/>
      <c r="T61" s="172"/>
      <c r="U61" s="151"/>
      <c r="V61" s="278"/>
      <c r="W61" s="278"/>
      <c r="X61" s="278"/>
      <c r="Y61" s="151"/>
      <c r="Z61" s="151"/>
      <c r="AA61" s="151"/>
      <c r="AB61" s="151"/>
      <c r="AC61" s="151"/>
    </row>
    <row r="62" spans="1:29" ht="15.75">
      <c r="A62" s="176" t="s">
        <v>108</v>
      </c>
      <c r="B62" s="176"/>
      <c r="C62" s="198"/>
      <c r="D62" s="178">
        <f t="shared" ref="D62:O62" si="59">D61/C61-1</f>
        <v>0.29645623653898046</v>
      </c>
      <c r="E62" s="178">
        <f t="shared" si="59"/>
        <v>7.1863472177577492E-2</v>
      </c>
      <c r="F62" s="178">
        <f t="shared" si="59"/>
        <v>1.5746812135129629E-2</v>
      </c>
      <c r="G62" s="178">
        <f t="shared" si="59"/>
        <v>-0.14525378332439387</v>
      </c>
      <c r="H62" s="178">
        <f t="shared" si="59"/>
        <v>-0.24566596445516087</v>
      </c>
      <c r="I62" s="178">
        <f t="shared" si="59"/>
        <v>-0.14543042854096311</v>
      </c>
      <c r="J62" s="178">
        <f t="shared" si="59"/>
        <v>0.28861073200681386</v>
      </c>
      <c r="K62" s="179">
        <f t="shared" si="59"/>
        <v>-2.4403891319291215E-3</v>
      </c>
      <c r="L62" s="179">
        <f t="shared" si="59"/>
        <v>2.7449910991726556E-2</v>
      </c>
      <c r="M62" s="179">
        <f t="shared" si="59"/>
        <v>6.6341937305496756E-2</v>
      </c>
      <c r="N62" s="179">
        <f t="shared" si="59"/>
        <v>7.8389725843982516E-2</v>
      </c>
      <c r="O62" s="179">
        <f t="shared" si="59"/>
        <v>-4.0725775421278643E-3</v>
      </c>
      <c r="P62" s="164"/>
      <c r="R62" s="172"/>
      <c r="S62" s="172"/>
      <c r="T62" s="172"/>
      <c r="U62" s="151"/>
      <c r="V62" s="151"/>
      <c r="W62" s="151"/>
      <c r="X62" s="151"/>
      <c r="Y62" s="151"/>
      <c r="Z62" s="151"/>
      <c r="AA62" s="151"/>
      <c r="AB62" s="151"/>
      <c r="AC62" s="151"/>
    </row>
    <row r="63" spans="1:29" ht="15.75" customHeight="1" outlineLevel="1">
      <c r="A63" s="180" t="s">
        <v>93</v>
      </c>
      <c r="B63" s="180"/>
      <c r="C63" s="181">
        <f>-6427/C7</f>
        <v>-211.69301712779975</v>
      </c>
      <c r="D63" s="181">
        <f>-7349/D7</f>
        <v>-249.96598639455783</v>
      </c>
      <c r="E63" s="181">
        <f>-7884/E7</f>
        <v>-253.80677977014454</v>
      </c>
      <c r="F63" s="181">
        <f>-9674/F7</f>
        <v>-303.60281195079085</v>
      </c>
      <c r="G63" s="181">
        <f>-9961/G7</f>
        <v>-257.85658814392957</v>
      </c>
      <c r="H63" s="181">
        <f>-10300/H7</f>
        <v>-168.15777444001827</v>
      </c>
      <c r="I63" s="181">
        <f>-13206/I7</f>
        <v>-197.15376605345367</v>
      </c>
      <c r="J63" s="181">
        <f>-15406/J7</f>
        <v>-265.07796537262067</v>
      </c>
      <c r="K63" s="192">
        <f>-K64*K66/1000/K7</f>
        <v>-262.29733636834703</v>
      </c>
      <c r="L63" s="192">
        <f>-L64*L66/1000/L7</f>
        <v>-260.57964401247852</v>
      </c>
      <c r="M63" s="192">
        <f>-M64*M66/1000/M7</f>
        <v>-281.77916923678242</v>
      </c>
      <c r="N63" s="192">
        <f>-N64*N66/1000/N7</f>
        <v>-297.1368379513583</v>
      </c>
      <c r="O63" s="192">
        <f>-O64*O66/1000/O7</f>
        <v>-300.4693199999611</v>
      </c>
      <c r="P63" s="164"/>
      <c r="R63" s="172"/>
      <c r="S63" s="172"/>
      <c r="T63" s="172"/>
      <c r="U63" s="260"/>
      <c r="V63" s="151"/>
      <c r="W63" s="151"/>
      <c r="X63" s="151"/>
      <c r="Y63" s="151"/>
      <c r="Z63" s="151"/>
      <c r="AA63" s="151"/>
      <c r="AB63" s="151"/>
      <c r="AC63" s="151"/>
    </row>
    <row r="64" spans="1:29" ht="15.75" customHeight="1" outlineLevel="1">
      <c r="A64" s="197" t="s">
        <v>132</v>
      </c>
      <c r="B64" s="197"/>
      <c r="C64" s="186">
        <f t="shared" ref="C64:J64" si="60">-C63*C7*1000/C66</f>
        <v>2223.1061916291942</v>
      </c>
      <c r="D64" s="186">
        <f t="shared" si="60"/>
        <v>2284.7402030080075</v>
      </c>
      <c r="E64" s="186">
        <f t="shared" si="60"/>
        <v>2288.6294867382198</v>
      </c>
      <c r="F64" s="186">
        <f t="shared" si="60"/>
        <v>2434.5824871713371</v>
      </c>
      <c r="G64" s="186">
        <f t="shared" si="60"/>
        <v>2330.0225403721597</v>
      </c>
      <c r="H64" s="186">
        <f t="shared" si="60"/>
        <v>2300.1339883876731</v>
      </c>
      <c r="I64" s="186">
        <f t="shared" si="60"/>
        <v>2885.2960454446143</v>
      </c>
      <c r="J64" s="186">
        <f t="shared" si="60"/>
        <v>3320.2586206896549</v>
      </c>
      <c r="K64" s="199">
        <f>K65*K16</f>
        <v>3191.85</v>
      </c>
      <c r="L64" s="199">
        <f>L65*L16</f>
        <v>3191.85</v>
      </c>
      <c r="M64" s="199">
        <f>M65*M16</f>
        <v>3439.08</v>
      </c>
      <c r="N64" s="199">
        <f>N65*N16</f>
        <v>3596.52</v>
      </c>
      <c r="O64" s="199">
        <f>O65*O16</f>
        <v>3596.52</v>
      </c>
      <c r="P64" s="164"/>
      <c r="R64" s="172"/>
      <c r="S64" s="172"/>
      <c r="T64" s="172"/>
      <c r="U64" s="260"/>
      <c r="V64" s="151"/>
      <c r="W64" s="151"/>
      <c r="X64" s="151"/>
      <c r="Y64" s="151"/>
      <c r="Z64" s="151"/>
      <c r="AA64" s="151"/>
      <c r="AB64" s="151"/>
      <c r="AC64" s="151"/>
    </row>
    <row r="65" spans="1:29" ht="15.75" customHeight="1" outlineLevel="1">
      <c r="A65" s="197" t="s">
        <v>133</v>
      </c>
      <c r="B65" s="197"/>
      <c r="C65" s="200">
        <f t="shared" ref="C65:H65" si="61">C64/(C16-C17)</f>
        <v>1.3689077534662526</v>
      </c>
      <c r="D65" s="200">
        <f t="shared" si="61"/>
        <v>1.3599644065523855</v>
      </c>
      <c r="E65" s="200">
        <f t="shared" si="61"/>
        <v>1.3502238859812505</v>
      </c>
      <c r="F65" s="200">
        <f t="shared" si="61"/>
        <v>1.3260253198100964</v>
      </c>
      <c r="G65" s="200">
        <f t="shared" si="61"/>
        <v>1.3338805474995188</v>
      </c>
      <c r="H65" s="200">
        <f t="shared" si="61"/>
        <v>1.3466818745350109</v>
      </c>
      <c r="I65" s="200">
        <f>I64/I16</f>
        <v>1.3109023377758358</v>
      </c>
      <c r="J65" s="200">
        <f>J64/J16</f>
        <v>1.2794830908245298</v>
      </c>
      <c r="K65" s="421">
        <v>1.23</v>
      </c>
      <c r="L65" s="201">
        <f t="shared" ref="L65:O65" si="62">K65</f>
        <v>1.23</v>
      </c>
      <c r="M65" s="201">
        <f>L65</f>
        <v>1.23</v>
      </c>
      <c r="N65" s="201">
        <f t="shared" si="62"/>
        <v>1.23</v>
      </c>
      <c r="O65" s="201">
        <f t="shared" si="62"/>
        <v>1.23</v>
      </c>
      <c r="P65" s="164"/>
      <c r="R65" s="172"/>
      <c r="S65" s="172"/>
      <c r="T65" s="172"/>
      <c r="U65" s="151"/>
      <c r="V65" s="151"/>
      <c r="W65" s="151"/>
      <c r="X65" s="151"/>
      <c r="Y65" s="151"/>
      <c r="Z65" s="151"/>
      <c r="AA65" s="151"/>
      <c r="AB65" s="151"/>
      <c r="AC65" s="151"/>
    </row>
    <row r="66" spans="1:29" ht="15.75" customHeight="1" outlineLevel="1">
      <c r="A66" s="197" t="s">
        <v>134</v>
      </c>
      <c r="B66" s="197"/>
      <c r="C66" s="186">
        <v>2891</v>
      </c>
      <c r="D66" s="186">
        <v>3216.5582722817098</v>
      </c>
      <c r="E66" s="186">
        <v>3444.8564285678081</v>
      </c>
      <c r="F66" s="186">
        <v>3973.57659926319</v>
      </c>
      <c r="G66" s="186">
        <v>4275.0659392372199</v>
      </c>
      <c r="H66" s="186">
        <v>4478</v>
      </c>
      <c r="I66" s="186">
        <v>4577</v>
      </c>
      <c r="J66" s="186">
        <v>4640</v>
      </c>
      <c r="K66" s="187">
        <f>J66*(1+K67)</f>
        <v>4776.0368808239336</v>
      </c>
      <c r="L66" s="187">
        <f t="shared" ref="L66" si="63">K66*(1+L67)</f>
        <v>4900.4975646885723</v>
      </c>
      <c r="M66" s="187">
        <f>L66*(1+M67)</f>
        <v>5067.2688282679737</v>
      </c>
      <c r="N66" s="187">
        <f>M66*(1+N67)</f>
        <v>5249.6905060856207</v>
      </c>
      <c r="O66" s="187">
        <f>N66*(1+O67)</f>
        <v>5438.6793643047031</v>
      </c>
      <c r="P66" s="164"/>
      <c r="R66" s="172"/>
      <c r="S66" s="172"/>
      <c r="T66" s="172"/>
      <c r="U66" s="151"/>
      <c r="V66" s="151"/>
      <c r="W66" s="151"/>
      <c r="X66" s="151"/>
      <c r="Y66" s="151"/>
      <c r="Z66" s="151"/>
      <c r="AA66" s="151"/>
      <c r="AB66" s="151"/>
      <c r="AC66" s="151"/>
    </row>
    <row r="67" spans="1:29" ht="15.75" customHeight="1" outlineLevel="1">
      <c r="A67" s="202" t="s">
        <v>135</v>
      </c>
      <c r="B67" s="202"/>
      <c r="C67" s="178"/>
      <c r="D67" s="178">
        <f t="shared" ref="D67:J67" si="64">D66/C66-1</f>
        <v>0.11261095547620537</v>
      </c>
      <c r="E67" s="178">
        <f t="shared" si="64"/>
        <v>7.0975911816499426E-2</v>
      </c>
      <c r="F67" s="178">
        <f t="shared" si="64"/>
        <v>0.1534810467892842</v>
      </c>
      <c r="G67" s="178">
        <f t="shared" si="64"/>
        <v>7.5873544259832393E-2</v>
      </c>
      <c r="H67" s="178">
        <f t="shared" si="64"/>
        <v>4.7469223550500095E-2</v>
      </c>
      <c r="I67" s="178">
        <f t="shared" si="64"/>
        <v>2.2108083966056347E-2</v>
      </c>
      <c r="J67" s="178">
        <f t="shared" si="64"/>
        <v>1.376447454664631E-2</v>
      </c>
      <c r="K67" s="179">
        <f>[10]General!O$39</f>
        <v>2.9318293281020091E-2</v>
      </c>
      <c r="L67" s="179">
        <f>[10]General!P$39</f>
        <v>2.6059405940593861E-2</v>
      </c>
      <c r="M67" s="179">
        <f>[10]General!Q$39</f>
        <v>3.4031496062992161E-2</v>
      </c>
      <c r="N67" s="179">
        <f>[10]General!R$39</f>
        <v>3.6000000000000032E-2</v>
      </c>
      <c r="O67" s="179">
        <f>[10]General!S$39</f>
        <v>3.6000000000000032E-2</v>
      </c>
      <c r="P67" s="164"/>
      <c r="R67" s="172"/>
      <c r="S67" s="172"/>
      <c r="T67" s="172" t="s">
        <v>318</v>
      </c>
      <c r="U67" s="151"/>
      <c r="V67" s="151"/>
      <c r="W67" s="151"/>
      <c r="X67" s="151"/>
      <c r="Y67" s="151"/>
      <c r="Z67" s="151"/>
      <c r="AA67" s="151"/>
      <c r="AB67" s="151"/>
      <c r="AC67" s="151"/>
    </row>
    <row r="68" spans="1:29" ht="15.75" customHeight="1" outlineLevel="1">
      <c r="A68" s="180" t="s">
        <v>205</v>
      </c>
      <c r="B68" s="180"/>
      <c r="C68" s="181">
        <f>-3386/C7</f>
        <v>-111.52832674571805</v>
      </c>
      <c r="D68" s="181">
        <f>-3729/D7</f>
        <v>-126.83673469387756</v>
      </c>
      <c r="E68" s="181">
        <f>-4081/E7</f>
        <v>-131.37816695103498</v>
      </c>
      <c r="F68" s="181">
        <f>-4705/F7</f>
        <v>-147.65879989957318</v>
      </c>
      <c r="G68" s="181">
        <f>-5483/G7</f>
        <v>-141.93631892311674</v>
      </c>
      <c r="H68" s="181">
        <f>-6154/H7</f>
        <v>-100.47018872853131</v>
      </c>
      <c r="I68" s="181">
        <f>-6031/I7</f>
        <v>-90.037434731817285</v>
      </c>
      <c r="J68" s="181">
        <f>-7219/J7</f>
        <v>-124.21120550596837</v>
      </c>
      <c r="K68" s="192">
        <f t="shared" ref="K68:M68" si="65">J68*(1+K69)*(K16+K22+K26+K30+K38+K53+K57)/(J16+J22+J26+J30+J38+J53+J57)*J7/K7</f>
        <v>-127.64782570559439</v>
      </c>
      <c r="L68" s="192">
        <f t="shared" si="65"/>
        <v>-132.39675574050113</v>
      </c>
      <c r="M68" s="192">
        <f t="shared" si="65"/>
        <v>-147.41506038046535</v>
      </c>
      <c r="N68" s="192">
        <f>M68*(1+N69)*(N16+N22+N26+N30+N38+N53+N57)/(M16+M22+M26+M30+M38+M53+M57)*M7/N7</f>
        <v>-158.59358380187089</v>
      </c>
      <c r="O68" s="192">
        <f>N68*(1+O69)*(O16+O22+O26+O30+O38+O53+O57)/(N16+N22+N26+N30+N38+N53+N57)*N7/O7</f>
        <v>-157.35158239448918</v>
      </c>
      <c r="P68" s="164"/>
      <c r="R68" s="172"/>
      <c r="S68" s="172"/>
      <c r="T68" s="172"/>
      <c r="U68" s="151"/>
      <c r="V68" s="274"/>
      <c r="W68" s="151"/>
      <c r="X68" s="151"/>
      <c r="Y68" s="151"/>
      <c r="Z68" s="151"/>
      <c r="AA68" s="151"/>
      <c r="AB68" s="151"/>
      <c r="AC68" s="151"/>
    </row>
    <row r="69" spans="1:29" ht="15.75" customHeight="1" outlineLevel="1">
      <c r="A69" s="202" t="s">
        <v>108</v>
      </c>
      <c r="B69" s="202"/>
      <c r="C69" s="186"/>
      <c r="D69" s="178">
        <f t="shared" ref="D69:J69" si="66">D68*D7/(C68*C7)-1</f>
        <v>0.10129946839929116</v>
      </c>
      <c r="E69" s="178">
        <f t="shared" si="66"/>
        <v>9.4395280235987977E-2</v>
      </c>
      <c r="F69" s="178">
        <f t="shared" si="66"/>
        <v>0.15290370007351162</v>
      </c>
      <c r="G69" s="178">
        <f t="shared" si="66"/>
        <v>0.16535600425079711</v>
      </c>
      <c r="H69" s="178">
        <f t="shared" si="66"/>
        <v>0.12237826007660035</v>
      </c>
      <c r="I69" s="178">
        <f t="shared" si="66"/>
        <v>-1.9987000324991899E-2</v>
      </c>
      <c r="J69" s="178">
        <f t="shared" si="66"/>
        <v>0.1969822583319516</v>
      </c>
      <c r="K69" s="179">
        <f>[10]General!O$17</f>
        <v>3.1713488960065428E-2</v>
      </c>
      <c r="L69" s="179">
        <f>[10]General!P$17</f>
        <v>2.8138541584928678E-2</v>
      </c>
      <c r="M69" s="179">
        <f>[10]General!Q$17</f>
        <v>3.9342954023271481E-2</v>
      </c>
      <c r="N69" s="179">
        <f>[10]General!R$17</f>
        <v>-3.2272865263915929E-4</v>
      </c>
      <c r="O69" s="179">
        <f>[10]General!S$17</f>
        <v>1.6486512008721865E-2</v>
      </c>
      <c r="P69" s="164"/>
      <c r="R69" s="172"/>
      <c r="S69" s="172"/>
      <c r="T69" s="172"/>
      <c r="U69" s="151"/>
      <c r="V69" s="151"/>
      <c r="W69" s="151"/>
      <c r="X69" s="151"/>
      <c r="Y69" s="151"/>
      <c r="Z69" s="151"/>
      <c r="AA69" s="151"/>
      <c r="AB69" s="151"/>
      <c r="AC69" s="151"/>
    </row>
    <row r="70" spans="1:29" ht="15.75" customHeight="1" outlineLevel="1">
      <c r="A70" s="180" t="s">
        <v>204</v>
      </c>
      <c r="B70" s="180"/>
      <c r="C70" s="181">
        <f>-3713/C7</f>
        <v>-122.29907773386034</v>
      </c>
      <c r="D70" s="181">
        <f>-4223/D7</f>
        <v>-143.63945578231292</v>
      </c>
      <c r="E70" s="181">
        <f>-4951/E7</f>
        <v>-159.38576441425491</v>
      </c>
      <c r="F70" s="181">
        <f>-2920/F7</f>
        <v>-91.639467737886008</v>
      </c>
      <c r="G70" s="181">
        <f>-1014/G7</f>
        <v>-26.249029251876777</v>
      </c>
      <c r="H70" s="181">
        <f>-481/H7</f>
        <v>-7.8528048063736691</v>
      </c>
      <c r="I70" s="181">
        <f>-I74*I76/1000</f>
        <v>0</v>
      </c>
      <c r="J70" s="181">
        <f>-J74*J76/1000</f>
        <v>0</v>
      </c>
      <c r="K70" s="192">
        <f>-K74*K76/1000</f>
        <v>0</v>
      </c>
      <c r="L70" s="192">
        <f t="shared" ref="L70:O70" si="67">-L74*L76/1000</f>
        <v>0</v>
      </c>
      <c r="M70" s="192">
        <f t="shared" si="67"/>
        <v>0</v>
      </c>
      <c r="N70" s="192">
        <f t="shared" si="67"/>
        <v>0</v>
      </c>
      <c r="O70" s="192">
        <f t="shared" si="67"/>
        <v>0</v>
      </c>
    </row>
    <row r="71" spans="1:29" ht="15.75" customHeight="1" outlineLevel="1">
      <c r="A71" s="203" t="s">
        <v>136</v>
      </c>
      <c r="B71" s="203"/>
      <c r="C71" s="186">
        <f t="shared" ref="C71:D71" si="68">C72+C74</f>
        <v>1087</v>
      </c>
      <c r="D71" s="186">
        <f t="shared" si="68"/>
        <v>1137</v>
      </c>
      <c r="E71" s="186">
        <f>E72+E74</f>
        <v>1085</v>
      </c>
      <c r="F71" s="186">
        <f>F72+F74</f>
        <v>478</v>
      </c>
      <c r="G71" s="186">
        <f>G72+G74</f>
        <v>306</v>
      </c>
      <c r="H71" s="186">
        <f>H72+H74</f>
        <v>95.124709000000053</v>
      </c>
      <c r="I71" s="186">
        <v>0</v>
      </c>
      <c r="J71" s="186">
        <v>0</v>
      </c>
      <c r="K71" s="199">
        <v>0</v>
      </c>
      <c r="L71" s="199">
        <v>0</v>
      </c>
      <c r="M71" s="199">
        <v>0</v>
      </c>
      <c r="N71" s="199">
        <v>0</v>
      </c>
      <c r="O71" s="199">
        <v>0</v>
      </c>
    </row>
    <row r="72" spans="1:29" ht="15.75" customHeight="1" outlineLevel="1">
      <c r="A72" s="204" t="s">
        <v>137</v>
      </c>
      <c r="B72" s="204"/>
      <c r="C72" s="186">
        <f>726+C58</f>
        <v>726</v>
      </c>
      <c r="D72" s="186">
        <f>746+D58</f>
        <v>746</v>
      </c>
      <c r="E72" s="186">
        <f>699+E58</f>
        <v>678</v>
      </c>
      <c r="F72" s="186">
        <f>769+F58</f>
        <v>139</v>
      </c>
      <c r="G72" s="186">
        <f>732+G58</f>
        <v>14</v>
      </c>
      <c r="H72" s="186">
        <f>789+H58</f>
        <v>14.124709000000053</v>
      </c>
      <c r="I72" s="186">
        <v>0</v>
      </c>
      <c r="J72" s="186">
        <v>0</v>
      </c>
      <c r="K72" s="199">
        <v>0</v>
      </c>
      <c r="L72" s="199">
        <v>0</v>
      </c>
      <c r="M72" s="199">
        <v>0</v>
      </c>
      <c r="N72" s="199">
        <v>0</v>
      </c>
      <c r="O72" s="199">
        <v>0</v>
      </c>
    </row>
    <row r="73" spans="1:29" ht="15.75" customHeight="1" outlineLevel="1">
      <c r="A73" s="196" t="s">
        <v>138</v>
      </c>
      <c r="B73" s="196"/>
      <c r="C73" s="205">
        <f>(C71-C74)/(C38-C39)</f>
        <v>0.41343963553530749</v>
      </c>
      <c r="D73" s="205">
        <f>(D71-D74)/(D38-D39)</f>
        <v>0.40280777537796975</v>
      </c>
      <c r="E73" s="205">
        <f>(E71-E58-E74)/(E38-E39)</f>
        <v>0.4035796766743649</v>
      </c>
      <c r="F73" s="205">
        <f>(F71-F58-F74)/(F38-F39)</f>
        <v>0.40882509303561937</v>
      </c>
      <c r="G73" s="205">
        <f>(G71-G58-G74)/(G38-G39)</f>
        <v>0.40326134861172325</v>
      </c>
      <c r="H73" s="205">
        <f>(H71-H58-H74)/(H38-H39)</f>
        <v>0.41422976364228192</v>
      </c>
      <c r="I73" s="205">
        <f>(I71-I58-I74)/(I38-I39)</f>
        <v>0.41127380952380954</v>
      </c>
      <c r="J73" s="205">
        <f>(J71-J58-J74)/(J38-J39)</f>
        <v>0.40468679585398826</v>
      </c>
      <c r="K73" s="337">
        <f t="shared" ref="K73:O73" si="69">J73</f>
        <v>0.40468679585398826</v>
      </c>
      <c r="L73" s="337">
        <f t="shared" si="69"/>
        <v>0.40468679585398826</v>
      </c>
      <c r="M73" s="337">
        <f t="shared" si="69"/>
        <v>0.40468679585398826</v>
      </c>
      <c r="N73" s="337">
        <f t="shared" si="69"/>
        <v>0.40468679585398826</v>
      </c>
      <c r="O73" s="337">
        <f t="shared" si="69"/>
        <v>0.40468679585398826</v>
      </c>
      <c r="P73" s="337"/>
    </row>
    <row r="74" spans="1:29" ht="15.75" customHeight="1" outlineLevel="1">
      <c r="A74" s="204" t="s">
        <v>110</v>
      </c>
      <c r="B74" s="204"/>
      <c r="C74" s="186">
        <v>361</v>
      </c>
      <c r="D74" s="186">
        <v>391</v>
      </c>
      <c r="E74" s="186">
        <v>407</v>
      </c>
      <c r="F74" s="186">
        <v>339</v>
      </c>
      <c r="G74" s="186">
        <v>292</v>
      </c>
      <c r="H74" s="186">
        <v>81</v>
      </c>
      <c r="I74" s="186">
        <v>0</v>
      </c>
      <c r="J74" s="186">
        <v>0</v>
      </c>
      <c r="K74" s="199">
        <v>0</v>
      </c>
      <c r="L74" s="199">
        <v>0</v>
      </c>
      <c r="M74" s="199">
        <v>0</v>
      </c>
      <c r="N74" s="199">
        <v>0</v>
      </c>
      <c r="O74" s="199">
        <v>0</v>
      </c>
    </row>
    <row r="75" spans="1:29" ht="15.75" customHeight="1" outlineLevel="1">
      <c r="A75" s="196" t="s">
        <v>138</v>
      </c>
      <c r="B75" s="196"/>
      <c r="C75" s="205">
        <f t="shared" ref="C75:H75" si="70">C74/C39</f>
        <v>0.52243125904486254</v>
      </c>
      <c r="D75" s="205">
        <f t="shared" si="70"/>
        <v>0.51788079470198678</v>
      </c>
      <c r="E75" s="205">
        <f t="shared" si="70"/>
        <v>0.47826086956521741</v>
      </c>
      <c r="F75" s="205">
        <f t="shared" si="70"/>
        <v>0.46311475409836067</v>
      </c>
      <c r="G75" s="205">
        <f t="shared" si="70"/>
        <v>0.40782122905027934</v>
      </c>
      <c r="H75" s="205">
        <f t="shared" si="70"/>
        <v>0.1396551724137931</v>
      </c>
      <c r="I75" s="186">
        <v>0</v>
      </c>
      <c r="J75" s="186">
        <f>I75</f>
        <v>0</v>
      </c>
      <c r="K75" s="334">
        <f>J75</f>
        <v>0</v>
      </c>
      <c r="L75" s="334">
        <f t="shared" ref="L75:O75" si="71">K75</f>
        <v>0</v>
      </c>
      <c r="M75" s="334">
        <f t="shared" si="71"/>
        <v>0</v>
      </c>
      <c r="N75" s="334">
        <f t="shared" si="71"/>
        <v>0</v>
      </c>
      <c r="O75" s="334">
        <f t="shared" si="71"/>
        <v>0</v>
      </c>
    </row>
    <row r="76" spans="1:29" ht="15.75" customHeight="1" outlineLevel="1">
      <c r="A76" s="196" t="s">
        <v>139</v>
      </c>
      <c r="B76" s="196"/>
      <c r="C76" s="190">
        <f t="shared" ref="C76:H76" si="72">-C70/C71*1000</f>
        <v>112.51065108910795</v>
      </c>
      <c r="D76" s="190">
        <f t="shared" si="72"/>
        <v>126.33197518233327</v>
      </c>
      <c r="E76" s="190">
        <f t="shared" si="72"/>
        <v>146.89932204078792</v>
      </c>
      <c r="F76" s="190">
        <f t="shared" si="72"/>
        <v>191.71436765248117</v>
      </c>
      <c r="G76" s="190">
        <f t="shared" si="72"/>
        <v>85.781141346002542</v>
      </c>
      <c r="H76" s="190">
        <f t="shared" si="72"/>
        <v>82.5527340785207</v>
      </c>
      <c r="I76" s="190">
        <v>0</v>
      </c>
      <c r="J76" s="190">
        <f>I76*J47/I47</f>
        <v>0</v>
      </c>
      <c r="K76" s="334">
        <f>J76*K47/J47</f>
        <v>0</v>
      </c>
      <c r="L76" s="334">
        <f>K76*L47/K47</f>
        <v>0</v>
      </c>
      <c r="M76" s="334">
        <f>L76*M47/L47</f>
        <v>0</v>
      </c>
      <c r="N76" s="334">
        <f>M76*N47/M47</f>
        <v>0</v>
      </c>
      <c r="O76" s="334">
        <f>N76*O47/N47</f>
        <v>0</v>
      </c>
    </row>
    <row r="77" spans="1:29" ht="15.75" customHeight="1" outlineLevel="1">
      <c r="A77" s="180" t="s">
        <v>140</v>
      </c>
      <c r="B77" s="180"/>
      <c r="C77" s="181">
        <f>-4048/C7</f>
        <v>-133.33333333333334</v>
      </c>
      <c r="D77" s="181">
        <f>-5729/D7</f>
        <v>-194.8639455782313</v>
      </c>
      <c r="E77" s="181">
        <f>-6643/E7</f>
        <v>-213.85571258410329</v>
      </c>
      <c r="F77" s="181">
        <f>-5652/F7</f>
        <v>-177.37886015566156</v>
      </c>
      <c r="G77" s="181">
        <f>-4877/G7</f>
        <v>-126.24902925187678</v>
      </c>
      <c r="H77" s="181">
        <f>-7951/H7</f>
        <v>-129.80800626918304</v>
      </c>
      <c r="I77" s="181">
        <f>-4765/I7</f>
        <v>-71.137187281895109</v>
      </c>
      <c r="J77" s="181">
        <f>-5192/J7</f>
        <v>-89.334337025486604</v>
      </c>
      <c r="K77" s="192">
        <f t="shared" ref="K77:O77" si="73">-K79*K81/1000</f>
        <v>-88.339633250887204</v>
      </c>
      <c r="L77" s="192">
        <f t="shared" si="73"/>
        <v>-88.339633250887204</v>
      </c>
      <c r="M77" s="192">
        <f t="shared" si="73"/>
        <v>-101.87522374448865</v>
      </c>
      <c r="N77" s="192">
        <f t="shared" si="73"/>
        <v>-138.22226527583609</v>
      </c>
      <c r="O77" s="192">
        <f t="shared" si="73"/>
        <v>-138.22226527583609</v>
      </c>
      <c r="P77" s="164"/>
      <c r="R77" s="172"/>
      <c r="S77" s="172"/>
      <c r="T77" s="172"/>
      <c r="U77" s="151"/>
      <c r="V77" s="151"/>
      <c r="W77" s="151"/>
      <c r="X77" s="151"/>
      <c r="Y77" s="151"/>
      <c r="Z77" s="151"/>
      <c r="AA77" s="151"/>
      <c r="AB77" s="151"/>
      <c r="AC77" s="151"/>
    </row>
    <row r="78" spans="1:29" ht="15.75" customHeight="1" outlineLevel="1">
      <c r="A78" s="203" t="s">
        <v>136</v>
      </c>
      <c r="B78" s="203"/>
      <c r="C78" s="186">
        <f>C79+C82</f>
        <v>613</v>
      </c>
      <c r="D78" s="186">
        <f t="shared" ref="D78:O78" si="74">D79+D82</f>
        <v>645</v>
      </c>
      <c r="E78" s="186">
        <f t="shared" si="74"/>
        <v>611</v>
      </c>
      <c r="F78" s="186">
        <f t="shared" si="74"/>
        <v>623</v>
      </c>
      <c r="G78" s="186">
        <f>G79+G82</f>
        <v>622</v>
      </c>
      <c r="H78" s="186">
        <f>H79+H82</f>
        <v>628</v>
      </c>
      <c r="I78" s="186">
        <f>I79+I82</f>
        <v>483</v>
      </c>
      <c r="J78" s="186">
        <f t="shared" si="74"/>
        <v>586</v>
      </c>
      <c r="K78" s="199">
        <f t="shared" si="74"/>
        <v>576.94000000000005</v>
      </c>
      <c r="L78" s="199">
        <f t="shared" si="74"/>
        <v>576.94000000000005</v>
      </c>
      <c r="M78" s="199">
        <f t="shared" si="74"/>
        <v>665.34</v>
      </c>
      <c r="N78" s="199">
        <f t="shared" si="74"/>
        <v>902.72</v>
      </c>
      <c r="O78" s="199">
        <f t="shared" si="74"/>
        <v>902.72</v>
      </c>
      <c r="P78" s="164"/>
      <c r="R78" s="172"/>
      <c r="S78" s="172"/>
      <c r="T78" s="172"/>
      <c r="U78" s="151"/>
      <c r="V78" s="151"/>
      <c r="W78" s="151"/>
      <c r="X78" s="151"/>
      <c r="Y78" s="151"/>
      <c r="Z78" s="151"/>
      <c r="AA78" s="151"/>
      <c r="AB78" s="151"/>
      <c r="AC78" s="151"/>
    </row>
    <row r="79" spans="1:29" ht="15.75" customHeight="1" outlineLevel="1">
      <c r="A79" s="204" t="s">
        <v>137</v>
      </c>
      <c r="B79" s="204"/>
      <c r="C79" s="186">
        <v>464</v>
      </c>
      <c r="D79" s="186">
        <v>492</v>
      </c>
      <c r="E79" s="186">
        <v>458</v>
      </c>
      <c r="F79" s="186">
        <v>482</v>
      </c>
      <c r="G79" s="186">
        <v>477</v>
      </c>
      <c r="H79" s="186">
        <v>509</v>
      </c>
      <c r="I79" s="186">
        <v>483</v>
      </c>
      <c r="J79" s="186">
        <v>586</v>
      </c>
      <c r="K79" s="199">
        <f>(K38-K39)*K80</f>
        <v>576.94000000000005</v>
      </c>
      <c r="L79" s="199">
        <f>(L38-L39)*L80</f>
        <v>576.94000000000005</v>
      </c>
      <c r="M79" s="199">
        <f>(M38-M39)*M80</f>
        <v>665.34</v>
      </c>
      <c r="N79" s="199">
        <f>(N38-N39)*N80</f>
        <v>902.72</v>
      </c>
      <c r="O79" s="199">
        <f>(O38-O39)*O80</f>
        <v>902.72</v>
      </c>
      <c r="P79" s="164"/>
      <c r="R79" s="172"/>
      <c r="S79" s="172"/>
      <c r="T79" s="172"/>
      <c r="U79" s="151"/>
      <c r="V79" s="151"/>
      <c r="W79" s="151"/>
      <c r="X79" s="151"/>
      <c r="Y79" s="151"/>
      <c r="Z79" s="151"/>
      <c r="AA79" s="151"/>
      <c r="AB79" s="151"/>
      <c r="AC79" s="151"/>
    </row>
    <row r="80" spans="1:29" ht="15.75" customHeight="1" outlineLevel="1">
      <c r="A80" s="196" t="s">
        <v>141</v>
      </c>
      <c r="B80" s="196"/>
      <c r="C80" s="200">
        <f t="shared" ref="C80:J80" si="75">C79/(C38-C39)</f>
        <v>0.26423690205011391</v>
      </c>
      <c r="D80" s="200">
        <f t="shared" si="75"/>
        <v>0.26565874730021599</v>
      </c>
      <c r="E80" s="200">
        <f t="shared" si="75"/>
        <v>0.26443418013856812</v>
      </c>
      <c r="F80" s="200">
        <f t="shared" si="75"/>
        <v>0.25624667729930889</v>
      </c>
      <c r="G80" s="200">
        <f t="shared" si="75"/>
        <v>0.26278096077567215</v>
      </c>
      <c r="H80" s="200">
        <f t="shared" si="75"/>
        <v>0.26722807312284097</v>
      </c>
      <c r="I80" s="200">
        <f t="shared" si="75"/>
        <v>0.24731182795698925</v>
      </c>
      <c r="J80" s="200">
        <f t="shared" si="75"/>
        <v>0.26408292023433977</v>
      </c>
      <c r="K80" s="206">
        <v>0.26</v>
      </c>
      <c r="L80" s="206">
        <f t="shared" ref="L80:O80" si="76">K80</f>
        <v>0.26</v>
      </c>
      <c r="M80" s="206">
        <f t="shared" si="76"/>
        <v>0.26</v>
      </c>
      <c r="N80" s="206">
        <f t="shared" si="76"/>
        <v>0.26</v>
      </c>
      <c r="O80" s="206">
        <f t="shared" si="76"/>
        <v>0.26</v>
      </c>
      <c r="P80" s="164"/>
      <c r="R80" s="172"/>
      <c r="S80" s="172"/>
      <c r="T80" s="172"/>
      <c r="U80" s="151"/>
      <c r="V80" s="151"/>
      <c r="W80" s="151"/>
      <c r="X80" s="151"/>
      <c r="Y80" s="151"/>
      <c r="Z80" s="151"/>
      <c r="AA80" s="151"/>
      <c r="AB80" s="151"/>
      <c r="AC80" s="151"/>
    </row>
    <row r="81" spans="1:29" ht="15.75" customHeight="1" outlineLevel="1">
      <c r="A81" s="196" t="s">
        <v>142</v>
      </c>
      <c r="B81" s="196"/>
      <c r="C81" s="186">
        <f>5358/C7</f>
        <v>176.48221343873519</v>
      </c>
      <c r="D81" s="186">
        <f>7408/D7</f>
        <v>251.97278911564626</v>
      </c>
      <c r="E81" s="186">
        <f>10279/E7</f>
        <v>330.90815439590511</v>
      </c>
      <c r="F81" s="186">
        <f>8286/F7</f>
        <v>260.04268139593273</v>
      </c>
      <c r="G81" s="186">
        <f>6817/G7</f>
        <v>176.46906549314002</v>
      </c>
      <c r="H81" s="186">
        <f>11085/H7</f>
        <v>180.97368249200025</v>
      </c>
      <c r="I81" s="186">
        <f>9871/I7</f>
        <v>147.36519950883243</v>
      </c>
      <c r="J81" s="186">
        <f>8899/J7</f>
        <v>153.11753952037853</v>
      </c>
      <c r="K81" s="199">
        <f>J81*K42/J42</f>
        <v>153.11753952037853</v>
      </c>
      <c r="L81" s="199">
        <f>K81*L42/K42</f>
        <v>153.11753952037853</v>
      </c>
      <c r="M81" s="199">
        <f>L81*M42/L42</f>
        <v>153.11753952037853</v>
      </c>
      <c r="N81" s="199">
        <f>M81*N42/M42</f>
        <v>153.11753952037853</v>
      </c>
      <c r="O81" s="199">
        <f>N81*O42/N42</f>
        <v>153.11753952037853</v>
      </c>
      <c r="P81" s="207" t="s">
        <v>143</v>
      </c>
      <c r="U81" s="151"/>
      <c r="V81" s="151"/>
      <c r="W81" s="151"/>
      <c r="X81" s="151"/>
      <c r="Y81" s="151"/>
      <c r="Z81" s="151"/>
      <c r="AA81" s="151"/>
      <c r="AB81" s="151"/>
      <c r="AC81" s="151"/>
    </row>
    <row r="82" spans="1:29" ht="15.75" customHeight="1" outlineLevel="1">
      <c r="A82" s="204" t="s">
        <v>110</v>
      </c>
      <c r="B82" s="204"/>
      <c r="C82" s="186">
        <v>149</v>
      </c>
      <c r="D82" s="186">
        <v>153</v>
      </c>
      <c r="E82" s="186">
        <v>153</v>
      </c>
      <c r="F82" s="186">
        <v>141</v>
      </c>
      <c r="G82" s="186">
        <v>145</v>
      </c>
      <c r="H82" s="186">
        <v>119</v>
      </c>
      <c r="I82" s="186">
        <v>0</v>
      </c>
      <c r="J82" s="186">
        <f>J39*J83</f>
        <v>0</v>
      </c>
      <c r="K82" s="199">
        <f>K39*K83</f>
        <v>0</v>
      </c>
      <c r="L82" s="199">
        <f>L39*L83</f>
        <v>0</v>
      </c>
      <c r="M82" s="199">
        <f>M39*M83</f>
        <v>0</v>
      </c>
      <c r="N82" s="199">
        <f>N39*N83</f>
        <v>0</v>
      </c>
      <c r="O82" s="199">
        <f>O39*O83</f>
        <v>0</v>
      </c>
      <c r="P82" s="397" t="s">
        <v>206</v>
      </c>
      <c r="R82" s="172"/>
      <c r="S82" s="172"/>
      <c r="T82" s="172"/>
      <c r="U82" s="151"/>
      <c r="V82" s="151"/>
      <c r="W82" s="151"/>
      <c r="X82" s="151"/>
      <c r="Y82" s="151"/>
      <c r="Z82" s="151"/>
      <c r="AA82" s="151"/>
      <c r="AB82" s="151"/>
      <c r="AC82" s="151"/>
    </row>
    <row r="83" spans="1:29" ht="15.75" customHeight="1" outlineLevel="1">
      <c r="A83" s="196" t="s">
        <v>141</v>
      </c>
      <c r="B83" s="196"/>
      <c r="C83" s="200">
        <f t="shared" ref="C83:H83" si="77">C82/C39</f>
        <v>0.21562952243125905</v>
      </c>
      <c r="D83" s="200">
        <f t="shared" si="77"/>
        <v>0.20264900662251656</v>
      </c>
      <c r="E83" s="200">
        <f t="shared" si="77"/>
        <v>0.17978848413631021</v>
      </c>
      <c r="F83" s="200">
        <f t="shared" si="77"/>
        <v>0.19262295081967212</v>
      </c>
      <c r="G83" s="200">
        <f t="shared" si="77"/>
        <v>0.20251396648044692</v>
      </c>
      <c r="H83" s="200">
        <f t="shared" si="77"/>
        <v>0.20517241379310344</v>
      </c>
      <c r="I83" s="186">
        <v>0</v>
      </c>
      <c r="J83" s="186">
        <f>I83</f>
        <v>0</v>
      </c>
      <c r="K83" s="199">
        <f>J83</f>
        <v>0</v>
      </c>
      <c r="L83" s="199">
        <f t="shared" ref="L83:O83" si="78">K83</f>
        <v>0</v>
      </c>
      <c r="M83" s="199">
        <f t="shared" si="78"/>
        <v>0</v>
      </c>
      <c r="N83" s="199">
        <f t="shared" si="78"/>
        <v>0</v>
      </c>
      <c r="O83" s="199">
        <f t="shared" si="78"/>
        <v>0</v>
      </c>
      <c r="P83" s="164"/>
      <c r="R83" s="172"/>
      <c r="S83" s="172"/>
      <c r="T83" s="172"/>
      <c r="U83" s="151"/>
      <c r="V83" s="151"/>
      <c r="W83" s="151"/>
      <c r="X83" s="151"/>
      <c r="Y83" s="151"/>
      <c r="Z83" s="151"/>
      <c r="AA83" s="151"/>
      <c r="AB83" s="151"/>
      <c r="AC83" s="151"/>
    </row>
    <row r="84" spans="1:29" ht="15.75" customHeight="1" outlineLevel="1">
      <c r="A84" s="196" t="s">
        <v>142</v>
      </c>
      <c r="B84" s="196"/>
      <c r="C84" s="186">
        <f>10508/C7</f>
        <v>346.11330698287219</v>
      </c>
      <c r="D84" s="186">
        <f>13578/D7</f>
        <v>461.83673469387759</v>
      </c>
      <c r="E84" s="186">
        <f>14628/E7</f>
        <v>470.91394907124231</v>
      </c>
      <c r="F84" s="186">
        <f>11803/F7</f>
        <v>370.41802661310567</v>
      </c>
      <c r="G84" s="186">
        <f>11307/G7</f>
        <v>292.69997411338335</v>
      </c>
      <c r="H84" s="186">
        <f>19193/H7</f>
        <v>313.3448703715797</v>
      </c>
      <c r="I84" s="186">
        <v>0</v>
      </c>
      <c r="J84" s="186">
        <f>I84*J42/I42</f>
        <v>0</v>
      </c>
      <c r="K84" s="199">
        <f>J84*K42/J42</f>
        <v>0</v>
      </c>
      <c r="L84" s="199">
        <f>K84*L42/K42</f>
        <v>0</v>
      </c>
      <c r="M84" s="199">
        <f>L84*M42/L42</f>
        <v>0</v>
      </c>
      <c r="N84" s="199">
        <f>M84*N42/M42</f>
        <v>0</v>
      </c>
      <c r="O84" s="199">
        <f>N84*O42/N42</f>
        <v>0</v>
      </c>
      <c r="P84" s="164"/>
      <c r="R84" s="172"/>
      <c r="S84" s="172"/>
      <c r="T84" s="172"/>
      <c r="U84" s="151"/>
      <c r="V84" s="151"/>
      <c r="W84" s="151"/>
      <c r="X84" s="151"/>
      <c r="Y84" s="151"/>
      <c r="Z84" s="151"/>
      <c r="AA84" s="151"/>
      <c r="AB84" s="151"/>
      <c r="AC84" s="151"/>
    </row>
    <row r="85" spans="1:29" ht="15.75" customHeight="1" outlineLevel="1">
      <c r="A85" s="180" t="s">
        <v>144</v>
      </c>
      <c r="B85" s="180"/>
      <c r="C85" s="181">
        <f>-871/C7</f>
        <v>-28.689064558629777</v>
      </c>
      <c r="D85" s="181">
        <f>-1003/D7</f>
        <v>-34.115646258503403</v>
      </c>
      <c r="E85" s="181">
        <f>-1175/E7</f>
        <v>-37.826352895728036</v>
      </c>
      <c r="F85" s="181">
        <f>-848/F7</f>
        <v>-26.613105699221691</v>
      </c>
      <c r="G85" s="181">
        <f>-743/G7</f>
        <v>-19.233756148071446</v>
      </c>
      <c r="H85" s="181">
        <f>-856/H7</f>
        <v>-13.97505387579181</v>
      </c>
      <c r="I85" s="181">
        <f>-I88*I86/1000</f>
        <v>0</v>
      </c>
      <c r="J85" s="181">
        <f t="shared" ref="J85:O85" si="79">-J88*J86/1000</f>
        <v>0</v>
      </c>
      <c r="K85" s="192">
        <f t="shared" si="79"/>
        <v>0</v>
      </c>
      <c r="L85" s="192">
        <f t="shared" si="79"/>
        <v>0</v>
      </c>
      <c r="M85" s="192">
        <f t="shared" si="79"/>
        <v>0</v>
      </c>
      <c r="N85" s="192">
        <f t="shared" si="79"/>
        <v>0</v>
      </c>
      <c r="O85" s="192">
        <f t="shared" si="79"/>
        <v>0</v>
      </c>
      <c r="P85" s="164"/>
      <c r="R85" s="172"/>
      <c r="S85" s="172"/>
      <c r="T85" s="172"/>
      <c r="U85" s="151"/>
      <c r="V85" s="151"/>
      <c r="W85" s="151"/>
      <c r="X85" s="151"/>
      <c r="Y85" s="151"/>
      <c r="Z85" s="151"/>
      <c r="AA85" s="151"/>
      <c r="AB85" s="151"/>
      <c r="AC85" s="151"/>
    </row>
    <row r="86" spans="1:29" ht="15.75" customHeight="1" outlineLevel="1">
      <c r="A86" s="197" t="s">
        <v>145</v>
      </c>
      <c r="B86" s="197"/>
      <c r="C86" s="186">
        <v>165.03100000000001</v>
      </c>
      <c r="D86" s="186">
        <v>165.108</v>
      </c>
      <c r="E86" s="186">
        <v>192</v>
      </c>
      <c r="F86" s="186">
        <v>161</v>
      </c>
      <c r="G86" s="186">
        <v>146</v>
      </c>
      <c r="H86" s="186">
        <v>107</v>
      </c>
      <c r="I86" s="186">
        <v>0</v>
      </c>
      <c r="J86" s="186">
        <v>0</v>
      </c>
      <c r="K86" s="333">
        <v>0</v>
      </c>
      <c r="L86" s="333">
        <v>0</v>
      </c>
      <c r="M86" s="333">
        <v>0</v>
      </c>
      <c r="N86" s="333">
        <v>0</v>
      </c>
      <c r="O86" s="333">
        <v>0</v>
      </c>
      <c r="P86" s="164"/>
      <c r="R86" s="172"/>
      <c r="S86" s="172"/>
      <c r="T86" s="172"/>
      <c r="U86" s="151"/>
      <c r="V86" s="151"/>
      <c r="W86" s="151"/>
      <c r="X86" s="151"/>
      <c r="Y86" s="151"/>
      <c r="Z86" s="151"/>
      <c r="AA86" s="151"/>
      <c r="AB86" s="151"/>
      <c r="AC86" s="151"/>
    </row>
    <row r="87" spans="1:29" ht="15.75" customHeight="1" outlineLevel="1">
      <c r="A87" s="197" t="s">
        <v>146</v>
      </c>
      <c r="B87" s="197"/>
      <c r="C87" s="200">
        <f t="shared" ref="C87:H87" si="80">C86/C17</f>
        <v>1.6839897959183674</v>
      </c>
      <c r="D87" s="200">
        <f t="shared" si="80"/>
        <v>1.8345333333333333</v>
      </c>
      <c r="E87" s="200">
        <f t="shared" si="80"/>
        <v>2.1818181818181817</v>
      </c>
      <c r="F87" s="200">
        <f t="shared" si="80"/>
        <v>1.9876543209876543</v>
      </c>
      <c r="G87" s="200">
        <f t="shared" si="80"/>
        <v>1.9466666666666668</v>
      </c>
      <c r="H87" s="200">
        <f t="shared" si="80"/>
        <v>1.8771929824561404</v>
      </c>
      <c r="I87" s="186">
        <v>0</v>
      </c>
      <c r="J87" s="186">
        <v>0</v>
      </c>
      <c r="K87" s="333">
        <v>0</v>
      </c>
      <c r="L87" s="333">
        <v>0</v>
      </c>
      <c r="M87" s="333">
        <v>0</v>
      </c>
      <c r="N87" s="333">
        <v>0</v>
      </c>
      <c r="O87" s="333">
        <v>0</v>
      </c>
      <c r="P87" s="164"/>
      <c r="R87" s="172"/>
      <c r="S87" s="172"/>
      <c r="T87" s="172"/>
      <c r="U87" s="151"/>
      <c r="V87" s="151"/>
      <c r="W87" s="151"/>
      <c r="X87" s="151"/>
      <c r="Y87" s="151"/>
      <c r="Z87" s="151"/>
      <c r="AA87" s="151"/>
      <c r="AB87" s="151"/>
      <c r="AC87" s="151"/>
    </row>
    <row r="88" spans="1:29" ht="15.75" customHeight="1" outlineLevel="1">
      <c r="A88" s="197" t="s">
        <v>147</v>
      </c>
      <c r="B88" s="197"/>
      <c r="C88" s="186">
        <f t="shared" ref="C88:H88" si="81">-C85*1000/C86</f>
        <v>173.84045760269146</v>
      </c>
      <c r="D88" s="186">
        <f t="shared" si="81"/>
        <v>206.62624620553456</v>
      </c>
      <c r="E88" s="186">
        <f t="shared" si="81"/>
        <v>197.0122546652502</v>
      </c>
      <c r="F88" s="186">
        <f t="shared" si="81"/>
        <v>165.29879316286764</v>
      </c>
      <c r="G88" s="186">
        <f t="shared" si="81"/>
        <v>131.73805580870854</v>
      </c>
      <c r="H88" s="186">
        <f t="shared" si="81"/>
        <v>130.607980147587</v>
      </c>
      <c r="I88" s="186">
        <v>0</v>
      </c>
      <c r="J88" s="186">
        <v>0</v>
      </c>
      <c r="K88" s="333">
        <v>0</v>
      </c>
      <c r="L88" s="333">
        <v>0</v>
      </c>
      <c r="M88" s="333">
        <v>0</v>
      </c>
      <c r="N88" s="333">
        <v>0</v>
      </c>
      <c r="O88" s="333">
        <v>0</v>
      </c>
      <c r="P88" s="164"/>
      <c r="R88" s="172"/>
      <c r="S88" s="172"/>
      <c r="T88" s="172"/>
      <c r="U88" s="151"/>
      <c r="V88" s="151"/>
      <c r="W88" s="151"/>
      <c r="X88" s="151"/>
      <c r="Y88" s="151"/>
      <c r="Z88" s="151"/>
      <c r="AA88" s="151"/>
      <c r="AB88" s="151"/>
      <c r="AC88" s="151"/>
    </row>
    <row r="89" spans="1:29" ht="15.75" customHeight="1" outlineLevel="1">
      <c r="A89" s="202" t="s">
        <v>108</v>
      </c>
      <c r="B89" s="202"/>
      <c r="C89" s="186"/>
      <c r="D89" s="178">
        <f>D88/C88-1</f>
        <v>0.18859699896657145</v>
      </c>
      <c r="E89" s="178">
        <f t="shared" ref="E89:F89" si="82">E88/D88-1</f>
        <v>-4.6528414065661106E-2</v>
      </c>
      <c r="F89" s="178">
        <f t="shared" si="82"/>
        <v>-0.16097202458937343</v>
      </c>
      <c r="G89" s="178">
        <f>G88/F88-1</f>
        <v>-0.20303074639566165</v>
      </c>
      <c r="H89" s="178">
        <f>H88/G88-1</f>
        <v>-8.5782020554673322E-3</v>
      </c>
      <c r="I89" s="336">
        <v>0</v>
      </c>
      <c r="J89" s="336">
        <v>0</v>
      </c>
      <c r="K89" s="335">
        <v>0</v>
      </c>
      <c r="L89" s="335">
        <v>0</v>
      </c>
      <c r="M89" s="335">
        <v>0</v>
      </c>
      <c r="N89" s="335">
        <v>0</v>
      </c>
      <c r="O89" s="335">
        <v>0</v>
      </c>
      <c r="P89" s="164"/>
      <c r="R89" s="172"/>
      <c r="S89" s="172"/>
      <c r="T89" s="172"/>
      <c r="U89" s="151"/>
      <c r="V89" s="151"/>
      <c r="W89" s="151"/>
      <c r="X89" s="151"/>
      <c r="Y89" s="151"/>
      <c r="Z89" s="151"/>
      <c r="AA89" s="151"/>
      <c r="AB89" s="151"/>
      <c r="AC89" s="151"/>
    </row>
    <row r="90" spans="1:29" ht="15.75" customHeight="1" outlineLevel="1">
      <c r="A90" s="180" t="s">
        <v>148</v>
      </c>
      <c r="B90" s="180"/>
      <c r="C90" s="181">
        <f>-811/C7</f>
        <v>-26.712779973649539</v>
      </c>
      <c r="D90" s="181">
        <f>-1158/D7</f>
        <v>-39.387755102040821</v>
      </c>
      <c r="E90" s="181">
        <f>-1109/E7</f>
        <v>-35.7016386054148</v>
      </c>
      <c r="F90" s="181">
        <f>-789/F7</f>
        <v>-24.761486316846597</v>
      </c>
      <c r="G90" s="181">
        <f>-790/G7</f>
        <v>-20.450427129174216</v>
      </c>
      <c r="H90" s="181">
        <f>-1179/H7</f>
        <v>-19.248351074250635</v>
      </c>
      <c r="I90" s="181">
        <f>-I91*I92/1000</f>
        <v>0</v>
      </c>
      <c r="J90" s="181">
        <f>-J91*J92/1000</f>
        <v>0</v>
      </c>
      <c r="K90" s="192">
        <f>-K91*K92/1000</f>
        <v>0</v>
      </c>
      <c r="L90" s="192">
        <f t="shared" ref="L90:M90" si="83">-L91*L92/1000</f>
        <v>0</v>
      </c>
      <c r="M90" s="192">
        <f t="shared" si="83"/>
        <v>0</v>
      </c>
      <c r="N90" s="192">
        <f>-N91*N92/1000</f>
        <v>0</v>
      </c>
      <c r="O90" s="192">
        <f>-O91*O92/1000</f>
        <v>0</v>
      </c>
      <c r="P90" s="164"/>
      <c r="R90" s="172"/>
      <c r="S90" s="172"/>
      <c r="T90" s="172"/>
      <c r="U90" s="151"/>
      <c r="V90" s="151"/>
      <c r="W90" s="151"/>
      <c r="X90" s="151"/>
      <c r="Y90" s="151"/>
      <c r="Z90" s="151"/>
      <c r="AA90" s="151"/>
      <c r="AB90" s="151"/>
      <c r="AC90" s="151"/>
    </row>
    <row r="91" spans="1:29" ht="15.75" customHeight="1" outlineLevel="1">
      <c r="A91" s="197" t="s">
        <v>149</v>
      </c>
      <c r="B91" s="197"/>
      <c r="C91" s="186">
        <v>155</v>
      </c>
      <c r="D91" s="186">
        <v>151</v>
      </c>
      <c r="E91" s="186">
        <v>138</v>
      </c>
      <c r="F91" s="186">
        <v>136</v>
      </c>
      <c r="G91" s="186">
        <v>118</v>
      </c>
      <c r="H91" s="186">
        <v>103</v>
      </c>
      <c r="I91" s="186">
        <v>0</v>
      </c>
      <c r="J91" s="186">
        <v>0</v>
      </c>
      <c r="K91" s="199">
        <v>0</v>
      </c>
      <c r="L91" s="199">
        <v>0</v>
      </c>
      <c r="M91" s="199">
        <v>0</v>
      </c>
      <c r="N91" s="199">
        <f>N54*0.333</f>
        <v>0</v>
      </c>
      <c r="O91" s="199">
        <f>O54*0.333</f>
        <v>0</v>
      </c>
      <c r="P91" s="164"/>
      <c r="R91" s="172"/>
      <c r="S91" s="172"/>
      <c r="T91" s="172"/>
      <c r="U91" s="151"/>
      <c r="V91" s="151"/>
      <c r="W91" s="151"/>
      <c r="X91" s="151"/>
      <c r="Y91" s="151"/>
      <c r="Z91" s="151"/>
      <c r="AA91" s="151"/>
      <c r="AB91" s="151"/>
      <c r="AC91" s="151"/>
    </row>
    <row r="92" spans="1:29" ht="15.75" customHeight="1" outlineLevel="1">
      <c r="A92" s="197" t="s">
        <v>150</v>
      </c>
      <c r="B92" s="197"/>
      <c r="C92" s="186">
        <f>-C90*1000/C91</f>
        <v>172.34051595902929</v>
      </c>
      <c r="D92" s="186">
        <f t="shared" ref="D92:E92" si="84">-D90*1000/D91</f>
        <v>260.84606027841602</v>
      </c>
      <c r="E92" s="186">
        <f t="shared" si="84"/>
        <v>258.70752612619424</v>
      </c>
      <c r="F92" s="186">
        <f>-F90*1000/F91</f>
        <v>182.06975232975438</v>
      </c>
      <c r="G92" s="186">
        <f>-G90*1000/G91</f>
        <v>173.30870448452725</v>
      </c>
      <c r="H92" s="186">
        <f>-H90*1000/H91</f>
        <v>186.87719489563725</v>
      </c>
      <c r="I92" s="186">
        <f>I48*0.65</f>
        <v>44.85</v>
      </c>
      <c r="J92" s="186">
        <v>0</v>
      </c>
      <c r="K92" s="199">
        <v>0</v>
      </c>
      <c r="L92" s="199">
        <v>0</v>
      </c>
      <c r="M92" s="199">
        <v>0</v>
      </c>
      <c r="N92" s="199">
        <v>0</v>
      </c>
      <c r="O92" s="199">
        <v>0</v>
      </c>
      <c r="P92" s="164"/>
      <c r="R92" s="172"/>
      <c r="S92" s="172"/>
      <c r="T92" s="172"/>
      <c r="U92" s="151"/>
      <c r="V92" s="151"/>
      <c r="W92" s="151"/>
      <c r="X92" s="151"/>
      <c r="Y92" s="151"/>
      <c r="Z92" s="151"/>
      <c r="AA92" s="151"/>
      <c r="AB92" s="151"/>
      <c r="AC92" s="151"/>
    </row>
    <row r="93" spans="1:29" ht="15.75" customHeight="1" outlineLevel="1">
      <c r="A93" s="197" t="s">
        <v>151</v>
      </c>
      <c r="B93" s="197"/>
      <c r="C93" s="186">
        <v>148</v>
      </c>
      <c r="D93" s="186">
        <v>226</v>
      </c>
      <c r="E93" s="186">
        <v>199</v>
      </c>
      <c r="F93" s="186">
        <v>129</v>
      </c>
      <c r="G93" s="186">
        <v>158</v>
      </c>
      <c r="H93" s="186">
        <f>G93</f>
        <v>158</v>
      </c>
      <c r="I93" s="186">
        <v>0</v>
      </c>
      <c r="J93" s="186">
        <v>0</v>
      </c>
      <c r="K93" s="199">
        <v>0</v>
      </c>
      <c r="L93" s="199">
        <v>0</v>
      </c>
      <c r="M93" s="199">
        <v>0</v>
      </c>
      <c r="N93" s="199">
        <v>0</v>
      </c>
      <c r="O93" s="199">
        <v>0</v>
      </c>
      <c r="P93" s="164"/>
      <c r="R93" s="172"/>
      <c r="S93" s="172"/>
      <c r="T93" s="172"/>
      <c r="U93" s="151"/>
      <c r="V93" s="151"/>
      <c r="W93" s="151"/>
      <c r="X93" s="151"/>
      <c r="Y93" s="151"/>
      <c r="Z93" s="151"/>
      <c r="AA93" s="151"/>
      <c r="AB93" s="151"/>
      <c r="AC93" s="151"/>
    </row>
    <row r="94" spans="1:29" ht="15.75" customHeight="1" outlineLevel="1">
      <c r="A94" s="202" t="s">
        <v>152</v>
      </c>
      <c r="B94" s="202"/>
      <c r="C94" s="190">
        <f t="shared" ref="C94:H94" si="85">C92-C93</f>
        <v>24.34051595902929</v>
      </c>
      <c r="D94" s="190">
        <f t="shared" si="85"/>
        <v>34.846060278416019</v>
      </c>
      <c r="E94" s="190">
        <f t="shared" si="85"/>
        <v>59.707526126194239</v>
      </c>
      <c r="F94" s="190">
        <f t="shared" si="85"/>
        <v>53.06975232975438</v>
      </c>
      <c r="G94" s="190">
        <f t="shared" si="85"/>
        <v>15.308704484527254</v>
      </c>
      <c r="H94" s="190">
        <f t="shared" si="85"/>
        <v>28.877194895637246</v>
      </c>
      <c r="I94" s="186">
        <v>0</v>
      </c>
      <c r="J94" s="186">
        <v>0</v>
      </c>
      <c r="K94" s="334">
        <v>0</v>
      </c>
      <c r="L94" s="334">
        <v>0</v>
      </c>
      <c r="M94" s="334">
        <v>0</v>
      </c>
      <c r="N94" s="334">
        <v>0</v>
      </c>
      <c r="O94" s="334">
        <v>0</v>
      </c>
      <c r="P94" s="164"/>
      <c r="R94" s="172"/>
      <c r="S94" s="172"/>
      <c r="T94" s="172"/>
      <c r="U94" s="151"/>
      <c r="V94" s="151"/>
      <c r="W94" s="151"/>
      <c r="X94" s="151"/>
      <c r="Y94" s="151"/>
      <c r="Z94" s="151"/>
      <c r="AA94" s="151"/>
      <c r="AB94" s="151"/>
      <c r="AC94" s="151"/>
    </row>
    <row r="95" spans="1:29" ht="15.75" customHeight="1" outlineLevel="1">
      <c r="A95" s="180" t="s">
        <v>153</v>
      </c>
      <c r="B95" s="180"/>
      <c r="C95" s="181">
        <f>(-1043+123)/C7</f>
        <v>-30.303030303030305</v>
      </c>
      <c r="D95" s="181">
        <f>(-4409+1699)/D7</f>
        <v>-92.176870748299322</v>
      </c>
      <c r="E95" s="181">
        <f>(-5023+1908)/E7</f>
        <v>-100.2800759746322</v>
      </c>
      <c r="F95" s="181">
        <f>(-2976-1112)/F7</f>
        <v>-128.29525483304042</v>
      </c>
      <c r="G95" s="181">
        <f>(-6152+730)/G7</f>
        <v>-140.35723530934507</v>
      </c>
      <c r="H95" s="181">
        <f>(-10486+3825)/H7</f>
        <v>-108.74746947038463</v>
      </c>
      <c r="I95" s="181">
        <f>(-2296-321)/I7</f>
        <v>-39.069468859752256</v>
      </c>
      <c r="J95" s="181">
        <f>-4736/J7</f>
        <v>-81.48833207871813</v>
      </c>
      <c r="K95" s="192">
        <f>K9*K96</f>
        <v>-69.315562307212417</v>
      </c>
      <c r="L95" s="192">
        <f t="shared" ref="L95:O95" si="86">L9*L96</f>
        <v>-76.91046512978869</v>
      </c>
      <c r="M95" s="192">
        <f t="shared" si="86"/>
        <v>-84.363888219023849</v>
      </c>
      <c r="N95" s="192">
        <f t="shared" si="86"/>
        <v>-94.952383649850418</v>
      </c>
      <c r="O95" s="192">
        <f t="shared" si="86"/>
        <v>-96.357878242974664</v>
      </c>
      <c r="P95" s="164" t="s">
        <v>128</v>
      </c>
      <c r="R95" s="172"/>
      <c r="S95" s="172"/>
      <c r="T95" s="172"/>
      <c r="U95" s="151"/>
      <c r="V95" s="151"/>
      <c r="W95" s="151"/>
      <c r="X95" s="151"/>
      <c r="Y95" s="151"/>
      <c r="Z95" s="151"/>
      <c r="AA95" s="151"/>
      <c r="AB95" s="151"/>
      <c r="AC95" s="151"/>
    </row>
    <row r="96" spans="1:29" ht="15.75" customHeight="1" outlineLevel="1">
      <c r="A96" s="202" t="s">
        <v>108</v>
      </c>
      <c r="B96" s="202"/>
      <c r="C96" s="178">
        <f>C95/C9</f>
        <v>-2.0676945206095206E-2</v>
      </c>
      <c r="D96" s="178">
        <f>D95/D9</f>
        <v>-4.2912338484925261E-2</v>
      </c>
      <c r="E96" s="178">
        <f t="shared" ref="E96:J96" si="87">E95/E9</f>
        <v>-4.5008597147769794E-2</v>
      </c>
      <c r="F96" s="178">
        <f t="shared" si="87"/>
        <v>-6.1996693914072094E-2</v>
      </c>
      <c r="G96" s="178">
        <f t="shared" si="87"/>
        <v>-7.5855507988471987E-2</v>
      </c>
      <c r="H96" s="178">
        <f t="shared" si="87"/>
        <v>-6.5526841313094539E-2</v>
      </c>
      <c r="I96" s="178">
        <f t="shared" si="87"/>
        <v>-3.0585292880183256E-2</v>
      </c>
      <c r="J96" s="178">
        <f t="shared" si="87"/>
        <v>-5.2597676639790321E-2</v>
      </c>
      <c r="K96" s="179">
        <v>-4.4999999999999998E-2</v>
      </c>
      <c r="L96" s="179">
        <f>K96</f>
        <v>-4.4999999999999998E-2</v>
      </c>
      <c r="M96" s="179">
        <f t="shared" ref="M96:O96" si="88">L96</f>
        <v>-4.4999999999999998E-2</v>
      </c>
      <c r="N96" s="179">
        <f t="shared" si="88"/>
        <v>-4.4999999999999998E-2</v>
      </c>
      <c r="O96" s="179">
        <f t="shared" si="88"/>
        <v>-4.4999999999999998E-2</v>
      </c>
      <c r="P96" s="164"/>
      <c r="R96" s="172"/>
      <c r="S96" s="172"/>
      <c r="T96" s="172"/>
      <c r="U96" s="151"/>
      <c r="V96" s="151"/>
      <c r="W96" s="151"/>
      <c r="X96" s="151"/>
      <c r="Y96" s="151"/>
      <c r="Z96" s="151"/>
      <c r="AA96" s="151"/>
      <c r="AB96" s="151"/>
      <c r="AC96" s="151"/>
    </row>
    <row r="97" spans="1:29" ht="15.75" customHeight="1" outlineLevel="1">
      <c r="A97" s="180" t="s">
        <v>154</v>
      </c>
      <c r="B97" s="180"/>
      <c r="C97" s="181">
        <f>(-5543+1544+700)/C7</f>
        <v>-108.6627140974967</v>
      </c>
      <c r="D97" s="181">
        <f>(-6586+1011+1268)/D7</f>
        <v>-146.49659863945578</v>
      </c>
      <c r="E97" s="181">
        <f>(-6751+929+974)/E7</f>
        <v>-156.06992241573576</v>
      </c>
      <c r="F97" s="181">
        <f>(-7578+990+975)/F7</f>
        <v>-176.15490836053226</v>
      </c>
      <c r="G97" s="181">
        <f>(-8833+1442+1711)/G7</f>
        <v>-147.0359823971007</v>
      </c>
      <c r="H97" s="181">
        <f>(-11479+2497+1905)/H7</f>
        <v>-115.53908443805916</v>
      </c>
      <c r="I97" s="181">
        <f>(-11943+2427+1368)/I7</f>
        <v>-121.64235088622902</v>
      </c>
      <c r="J97" s="181">
        <f>(-13728+2747+1553)/J7</f>
        <v>-162.2195935046779</v>
      </c>
      <c r="K97" s="192">
        <f t="shared" ref="K97:M97" si="89">J97*(1+K98)*(K11)/(J11)*J7/K7</f>
        <v>-170.1347143176927</v>
      </c>
      <c r="L97" s="192">
        <f t="shared" si="89"/>
        <v>-178.93807719894167</v>
      </c>
      <c r="M97" s="192">
        <f t="shared" si="89"/>
        <v>-195.56429311614264</v>
      </c>
      <c r="N97" s="192">
        <f>M97*(1+N98)*(N11)/(M11)*M7/N7</f>
        <v>-217.05538481371354</v>
      </c>
      <c r="O97" s="192">
        <f>N97*(1+O98)*(O11)/(N11)*N7/O7</f>
        <v>-221.39649250998778</v>
      </c>
      <c r="P97" s="164" t="s">
        <v>107</v>
      </c>
      <c r="R97" s="172"/>
      <c r="S97" s="172"/>
      <c r="T97" s="172"/>
      <c r="U97" s="151"/>
      <c r="V97" s="151"/>
      <c r="W97" s="151"/>
      <c r="X97" s="151"/>
      <c r="Y97" s="151"/>
      <c r="Z97" s="151"/>
      <c r="AA97" s="151"/>
      <c r="AB97" s="151"/>
      <c r="AC97" s="151"/>
    </row>
    <row r="98" spans="1:29" ht="15.75" customHeight="1" outlineLevel="1">
      <c r="A98" s="202" t="s">
        <v>108</v>
      </c>
      <c r="B98" s="202"/>
      <c r="C98" s="186"/>
      <c r="D98" s="178">
        <f t="shared" ref="D98:G98" si="90">D97/C97*D7/C7*C11/D11-1</f>
        <v>0.24740707894030223</v>
      </c>
      <c r="E98" s="178">
        <f t="shared" si="90"/>
        <v>0.12492688022413612</v>
      </c>
      <c r="F98" s="178">
        <f t="shared" si="90"/>
        <v>0.11769023948332458</v>
      </c>
      <c r="G98" s="178">
        <f t="shared" si="90"/>
        <v>-1.7048966488963813E-2</v>
      </c>
      <c r="H98" s="178">
        <f>H97/G97*H7/G7*G11/H11-1</f>
        <v>0.22451237072216834</v>
      </c>
      <c r="I98" s="178">
        <f>I97/H97*I7/H7*H11/I11-1</f>
        <v>0.11301670105474737</v>
      </c>
      <c r="J98" s="178">
        <f>J97/I97*J7/I7*I11/J11-1</f>
        <v>2.0405199921029737E-3</v>
      </c>
      <c r="K98" s="179">
        <v>4.4999999999999998E-2</v>
      </c>
      <c r="L98" s="179">
        <f>K98</f>
        <v>4.4999999999999998E-2</v>
      </c>
      <c r="M98" s="179">
        <f>L98</f>
        <v>4.4999999999999998E-2</v>
      </c>
      <c r="N98" s="179">
        <f>M98</f>
        <v>4.4999999999999998E-2</v>
      </c>
      <c r="O98" s="179">
        <f>N98</f>
        <v>4.4999999999999998E-2</v>
      </c>
      <c r="P98" s="164"/>
      <c r="R98" s="172"/>
      <c r="S98" s="172"/>
      <c r="T98" s="172"/>
      <c r="U98" s="151"/>
      <c r="V98" s="151"/>
      <c r="W98" s="151"/>
      <c r="X98" s="151"/>
      <c r="Y98" s="151"/>
      <c r="Z98" s="151"/>
      <c r="AA98" s="151"/>
      <c r="AB98" s="151"/>
      <c r="AC98" s="151"/>
    </row>
    <row r="99" spans="1:29" ht="15.75" customHeight="1" outlineLevel="1">
      <c r="A99" s="180" t="s">
        <v>279</v>
      </c>
      <c r="B99" s="180"/>
      <c r="C99" s="181">
        <f>(-1719-2949)/C7</f>
        <v>-153.75494071146247</v>
      </c>
      <c r="D99" s="181">
        <f>(-1873-4040)/D7</f>
        <v>-201.12244897959184</v>
      </c>
      <c r="E99" s="181">
        <f>(-2345-4585)/E7</f>
        <v>-223.09500048288962</v>
      </c>
      <c r="F99" s="181">
        <f>(-2238-5466)/F7</f>
        <v>-241.77755460708008</v>
      </c>
      <c r="G99" s="181">
        <f>(-5067-2913)/G7</f>
        <v>-206.57520062127878</v>
      </c>
      <c r="H99" s="181">
        <f>(-6016-3744)/H7</f>
        <v>-159.34173578005615</v>
      </c>
      <c r="I99" s="181">
        <f>(-6875-3851)/I7</f>
        <v>-160.12958463496471</v>
      </c>
      <c r="J99" s="181">
        <f>(-6062-3624)/J7</f>
        <v>-166.65878051403374</v>
      </c>
      <c r="K99" s="192">
        <f t="shared" ref="K99:O99" si="91">J99*J7*(1-K103)*(1+J101*K102)/K7+$I99*K103</f>
        <v>-166.79715953972055</v>
      </c>
      <c r="L99" s="192">
        <f t="shared" si="91"/>
        <v>-163.34364385870214</v>
      </c>
      <c r="M99" s="192">
        <f t="shared" si="91"/>
        <v>-161.15746503923535</v>
      </c>
      <c r="N99" s="192">
        <f t="shared" si="91"/>
        <v>-159.76243629820422</v>
      </c>
      <c r="O99" s="192">
        <f t="shared" si="91"/>
        <v>-159.00504065864595</v>
      </c>
      <c r="P99" s="164"/>
      <c r="R99" s="172"/>
      <c r="S99" s="172"/>
      <c r="T99" s="172"/>
      <c r="U99" s="151"/>
      <c r="V99" s="151"/>
      <c r="W99" s="151"/>
      <c r="X99" s="151"/>
      <c r="Y99" s="151"/>
      <c r="Z99" s="151"/>
      <c r="AA99" s="151"/>
      <c r="AB99" s="151"/>
      <c r="AC99" s="151"/>
    </row>
    <row r="100" spans="1:29" ht="15.75" customHeight="1" outlineLevel="1">
      <c r="A100" s="202" t="s">
        <v>108</v>
      </c>
      <c r="B100" s="202"/>
      <c r="C100" s="186"/>
      <c r="D100" s="178">
        <f t="shared" ref="D100:I100" si="92">D99/C99*D7/C7-1</f>
        <v>0.26670951156812328</v>
      </c>
      <c r="E100" s="178">
        <f t="shared" si="92"/>
        <v>0.17199391171993916</v>
      </c>
      <c r="F100" s="178">
        <f t="shared" si="92"/>
        <v>0.11168831168831161</v>
      </c>
      <c r="G100" s="178">
        <f t="shared" si="92"/>
        <v>3.5825545171339623E-2</v>
      </c>
      <c r="H100" s="178">
        <f t="shared" si="92"/>
        <v>0.22305764411027584</v>
      </c>
      <c r="I100" s="178">
        <f t="shared" si="92"/>
        <v>9.8975409836065342E-2</v>
      </c>
      <c r="J100" s="178">
        <f>J99/I99*J7/I7-1</f>
        <v>-9.6960656349058372E-2</v>
      </c>
      <c r="K100" s="179">
        <f t="shared" ref="K100:O100" si="93">K99/J99*K7/J7-1</f>
        <v>8.303134419920255E-4</v>
      </c>
      <c r="L100" s="179">
        <f t="shared" si="93"/>
        <v>1.1438518568829936E-2</v>
      </c>
      <c r="M100" s="179">
        <f t="shared" si="93"/>
        <v>1.6513994871041104E-2</v>
      </c>
      <c r="N100" s="179">
        <f t="shared" si="93"/>
        <v>1.8536485845681794E-2</v>
      </c>
      <c r="O100" s="179">
        <f t="shared" si="93"/>
        <v>1.9652847078931668E-2</v>
      </c>
      <c r="P100" s="164"/>
      <c r="R100" s="172"/>
      <c r="S100" s="172"/>
      <c r="T100" s="172"/>
      <c r="U100" s="151"/>
      <c r="V100" s="151"/>
      <c r="W100" s="151"/>
      <c r="X100" s="151"/>
      <c r="Y100" s="151"/>
      <c r="Z100" s="151"/>
      <c r="AA100" s="151"/>
      <c r="AB100" s="151"/>
      <c r="AC100" s="151"/>
    </row>
    <row r="101" spans="1:29" ht="15.75" customHeight="1" outlineLevel="1">
      <c r="A101" s="202" t="s">
        <v>155</v>
      </c>
      <c r="B101" s="202"/>
      <c r="C101" s="178">
        <f>[7]Macro!G$7</f>
        <v>8.7999999999999995E-2</v>
      </c>
      <c r="D101" s="178">
        <f>[7]Macro!H$7</f>
        <v>6.0999999999999999E-2</v>
      </c>
      <c r="E101" s="178">
        <f>[7]Macro!I$7</f>
        <v>6.6000000000000003E-2</v>
      </c>
      <c r="F101" s="178">
        <f>[7]Macro!J$7</f>
        <v>6.5000000000000002E-2</v>
      </c>
      <c r="G101" s="178">
        <f>[7]Macro!K$7</f>
        <v>0.114</v>
      </c>
      <c r="H101" s="178">
        <f>[7]Macro!L$7</f>
        <v>0.129</v>
      </c>
      <c r="I101" s="178">
        <f>[7]Macro!M$7</f>
        <v>5.3999999999999999E-2</v>
      </c>
      <c r="J101" s="178">
        <f>[7]Macro!N$7</f>
        <v>2.5000000000000001E-2</v>
      </c>
      <c r="K101" s="179">
        <f>[7]Macro!O$7</f>
        <v>0.04</v>
      </c>
      <c r="L101" s="179">
        <f>[7]Macro!P$7</f>
        <v>4.4999999999999998E-2</v>
      </c>
      <c r="M101" s="179">
        <f>[7]Macro!Q$7</f>
        <v>4.4999999999999998E-2</v>
      </c>
      <c r="N101" s="179">
        <f>[7]Macro!R$7</f>
        <v>4.4999999999999998E-2</v>
      </c>
      <c r="O101" s="179">
        <f>[7]Macro!S$7</f>
        <v>4.4999999999999998E-2</v>
      </c>
      <c r="P101" s="164"/>
      <c r="R101" s="172"/>
      <c r="S101" s="172"/>
      <c r="T101" s="172"/>
      <c r="U101" s="151"/>
      <c r="V101" s="151"/>
      <c r="W101" s="151"/>
      <c r="X101" s="151"/>
      <c r="Y101" s="151"/>
      <c r="Z101" s="151"/>
      <c r="AA101" s="151"/>
      <c r="AB101" s="151"/>
      <c r="AC101" s="151"/>
    </row>
    <row r="102" spans="1:29" ht="15.75" customHeight="1" outlineLevel="1">
      <c r="A102" s="202" t="s">
        <v>156</v>
      </c>
      <c r="B102" s="202"/>
      <c r="C102" s="186"/>
      <c r="D102" s="350">
        <f>D100/C101</f>
        <v>3.0307899041832194</v>
      </c>
      <c r="E102" s="350">
        <f>E100/D101</f>
        <v>2.8195723232776913</v>
      </c>
      <c r="F102" s="350">
        <f t="shared" ref="F102:H102" si="94">F100/E101</f>
        <v>1.6922471467926001</v>
      </c>
      <c r="G102" s="350">
        <f t="shared" si="94"/>
        <v>0.55116223340522497</v>
      </c>
      <c r="H102" s="350">
        <f t="shared" si="94"/>
        <v>1.9566460009673319</v>
      </c>
      <c r="I102" s="350">
        <f>I100/H101</f>
        <v>0.76725123903926618</v>
      </c>
      <c r="J102" s="350">
        <f>J100/I101</f>
        <v>-1.7955677101677476</v>
      </c>
      <c r="K102" s="209">
        <v>0.4</v>
      </c>
      <c r="L102" s="209">
        <f t="shared" ref="L102:O103" si="95">K102</f>
        <v>0.4</v>
      </c>
      <c r="M102" s="209">
        <f t="shared" si="95"/>
        <v>0.4</v>
      </c>
      <c r="N102" s="209">
        <f t="shared" si="95"/>
        <v>0.4</v>
      </c>
      <c r="O102" s="209">
        <f t="shared" si="95"/>
        <v>0.4</v>
      </c>
      <c r="P102" s="164"/>
      <c r="R102" s="172"/>
      <c r="S102" s="172"/>
      <c r="T102" s="172"/>
      <c r="U102" s="151"/>
      <c r="V102" s="151"/>
      <c r="W102" s="151"/>
      <c r="X102" s="151"/>
      <c r="Y102" s="151"/>
      <c r="Z102" s="151"/>
      <c r="AA102" s="151"/>
      <c r="AB102" s="151"/>
      <c r="AC102" s="151"/>
    </row>
    <row r="103" spans="1:29" ht="15.75" customHeight="1" outlineLevel="1">
      <c r="A103" s="202" t="s">
        <v>163</v>
      </c>
      <c r="B103" s="202"/>
      <c r="C103" s="186"/>
      <c r="D103" s="178"/>
      <c r="E103" s="178"/>
      <c r="F103" s="178"/>
      <c r="G103" s="209"/>
      <c r="H103" s="209"/>
      <c r="I103" s="351">
        <f>2000/(6875+3851)</f>
        <v>0.18646280067126608</v>
      </c>
      <c r="J103" s="420">
        <f>I103</f>
        <v>0.18646280067126608</v>
      </c>
      <c r="K103" s="352">
        <f t="shared" ref="K103:K104" si="96">J103</f>
        <v>0.18646280067126608</v>
      </c>
      <c r="L103" s="352">
        <f t="shared" si="95"/>
        <v>0.18646280067126608</v>
      </c>
      <c r="M103" s="352">
        <f t="shared" si="95"/>
        <v>0.18646280067126608</v>
      </c>
      <c r="N103" s="352">
        <f t="shared" si="95"/>
        <v>0.18646280067126608</v>
      </c>
      <c r="O103" s="352">
        <f t="shared" si="95"/>
        <v>0.18646280067126608</v>
      </c>
      <c r="P103" s="164"/>
      <c r="R103" s="172"/>
      <c r="S103" s="172"/>
      <c r="T103" s="172"/>
      <c r="U103" s="151"/>
      <c r="V103" s="151"/>
      <c r="W103" s="151"/>
      <c r="X103" s="151"/>
      <c r="Y103" s="151"/>
      <c r="Z103" s="151"/>
      <c r="AA103" s="151"/>
      <c r="AB103" s="151"/>
      <c r="AC103" s="151"/>
    </row>
    <row r="104" spans="1:29" ht="15.75" customHeight="1" outlineLevel="1">
      <c r="A104" s="180" t="s">
        <v>280</v>
      </c>
      <c r="B104" s="180"/>
      <c r="C104" s="181">
        <f>(-4364+1719-30-299-300)/C7</f>
        <v>-107.83926218708828</v>
      </c>
      <c r="D104" s="181">
        <f>(-4574+14+1873-361-418)/D7</f>
        <v>-117.89115646258504</v>
      </c>
      <c r="E104" s="181">
        <f>(-5476+8+2345-518-224-536-495)/E7</f>
        <v>-157.6151691723272</v>
      </c>
      <c r="F104" s="181">
        <f>(-5271+2238-763-204-482-421)/F7</f>
        <v>-153.87270901330655</v>
      </c>
      <c r="G104" s="181">
        <f>(-6446+426+2913-565-301-445-305)/G7</f>
        <v>-122.26249029251876</v>
      </c>
      <c r="H104" s="181">
        <f>(-8361+232+3744-555-154-750-363)/H7</f>
        <v>-101.33546659700907</v>
      </c>
      <c r="I104" s="181">
        <f>(-7806+81+3851-267-306-709-854)/I7</f>
        <v>-89.72392351819299</v>
      </c>
      <c r="J104" s="181">
        <f>(-7162+15+3624-398-300-670-886)/J7</f>
        <v>-99.399935476932995</v>
      </c>
      <c r="K104" s="192">
        <f>J104*(1+K106*K105)*(1+0.75*((K16+K22+K26+K30+K38+K54+K57)/(J16+J22+J26+J30+J38+J54+J57)-1))*J7/K7</f>
        <v>-100.69330404913875</v>
      </c>
      <c r="L104" s="192">
        <f>K104*(1+L106*L105)*(1+0.3*((L16+L22+L26+L30+L38+L54+L57)/(K16+K22+K26+K30+K38+K54+K57)-1))*K7/L7</f>
        <v>-100.49657815862805</v>
      </c>
      <c r="M104" s="192">
        <f t="shared" ref="M104:O104" si="97">L104*(1+M106*M105)*(1+0.3*((M16+M22+M26+M30+M38+M54+M57)/(L16+L22+L26+L30+L38+L54+L57)-1))*L7/M7</f>
        <v>-102.38709586400597</v>
      </c>
      <c r="N104" s="192">
        <f t="shared" si="97"/>
        <v>-104.66415448434746</v>
      </c>
      <c r="O104" s="192">
        <f t="shared" si="97"/>
        <v>-103.99911143575792</v>
      </c>
      <c r="P104" s="164"/>
      <c r="R104" s="172"/>
      <c r="S104" s="172"/>
      <c r="T104" s="172"/>
      <c r="U104" s="208"/>
      <c r="V104" s="151"/>
      <c r="W104" s="151"/>
      <c r="X104" s="151"/>
      <c r="Y104" s="151"/>
      <c r="Z104" s="151"/>
      <c r="AA104" s="151"/>
      <c r="AB104" s="151"/>
      <c r="AC104" s="151"/>
    </row>
    <row r="105" spans="1:29" ht="15.75" customHeight="1" outlineLevel="1">
      <c r="A105" s="202" t="s">
        <v>155</v>
      </c>
      <c r="B105" s="202"/>
      <c r="C105" s="178">
        <f>C104/C9</f>
        <v>-7.3582955005169232E-2</v>
      </c>
      <c r="D105" s="178">
        <f>D104/D9</f>
        <v>-5.4883455789206996E-2</v>
      </c>
      <c r="E105" s="178">
        <f t="shared" ref="E105:J105" si="98">E104/E9</f>
        <v>-7.0742244505772364E-2</v>
      </c>
      <c r="F105" s="178">
        <f t="shared" si="98"/>
        <v>-7.4356602314260153E-2</v>
      </c>
      <c r="G105" s="178">
        <f t="shared" si="98"/>
        <v>-6.6076275217549454E-2</v>
      </c>
      <c r="H105" s="178">
        <f t="shared" si="98"/>
        <v>-6.106066717165258E-2</v>
      </c>
      <c r="I105" s="178">
        <f t="shared" si="98"/>
        <v>-7.0239820485250806E-2</v>
      </c>
      <c r="J105" s="178">
        <f t="shared" si="98"/>
        <v>-6.4158948046467212E-2</v>
      </c>
      <c r="K105" s="179">
        <f>[7]Macro!O$7</f>
        <v>0.04</v>
      </c>
      <c r="L105" s="179">
        <f>[7]Macro!P$7</f>
        <v>4.4999999999999998E-2</v>
      </c>
      <c r="M105" s="179">
        <f>[7]Macro!Q$7</f>
        <v>4.4999999999999998E-2</v>
      </c>
      <c r="N105" s="179">
        <f>[7]Macro!R$7</f>
        <v>4.4999999999999998E-2</v>
      </c>
      <c r="O105" s="179">
        <f>[7]Macro!S$7</f>
        <v>4.4999999999999998E-2</v>
      </c>
      <c r="P105" s="164"/>
      <c r="R105" s="172"/>
      <c r="S105" s="172"/>
      <c r="T105" s="172"/>
      <c r="U105" s="151"/>
      <c r="V105" s="151"/>
      <c r="W105" s="151"/>
      <c r="X105" s="151"/>
      <c r="Y105" s="151"/>
      <c r="Z105" s="151"/>
      <c r="AA105" s="151"/>
      <c r="AB105" s="151"/>
      <c r="AC105" s="151"/>
    </row>
    <row r="106" spans="1:29" ht="15.75" customHeight="1" outlineLevel="1">
      <c r="A106" s="202" t="s">
        <v>156</v>
      </c>
      <c r="B106" s="202"/>
      <c r="C106" s="186"/>
      <c r="D106" s="178"/>
      <c r="E106" s="178"/>
      <c r="F106" s="178"/>
      <c r="G106" s="209"/>
      <c r="H106" s="209"/>
      <c r="I106" s="320"/>
      <c r="J106" s="209"/>
      <c r="K106" s="209">
        <v>0.4</v>
      </c>
      <c r="L106" s="209">
        <f t="shared" ref="L106:O106" si="99">K106</f>
        <v>0.4</v>
      </c>
      <c r="M106" s="209">
        <f t="shared" si="99"/>
        <v>0.4</v>
      </c>
      <c r="N106" s="209">
        <f t="shared" si="99"/>
        <v>0.4</v>
      </c>
      <c r="O106" s="209">
        <f t="shared" si="99"/>
        <v>0.4</v>
      </c>
      <c r="P106" s="164"/>
      <c r="R106" s="172"/>
      <c r="S106" s="172"/>
      <c r="T106" s="172"/>
      <c r="U106" s="151"/>
      <c r="V106" s="151"/>
      <c r="W106" s="151"/>
      <c r="X106" s="151"/>
      <c r="Y106" s="151"/>
      <c r="Z106" s="151"/>
      <c r="AA106" s="151"/>
      <c r="AB106" s="151"/>
      <c r="AC106" s="151"/>
    </row>
    <row r="107" spans="1:29" ht="15.75" customHeight="1" outlineLevel="1">
      <c r="A107" s="180" t="s">
        <v>157</v>
      </c>
      <c r="B107" s="180"/>
      <c r="C107" s="181">
        <f>-2555/C7</f>
        <v>-84.156785243741766</v>
      </c>
      <c r="D107" s="181">
        <f>-2984/D7</f>
        <v>-101.49659863945578</v>
      </c>
      <c r="E107" s="181">
        <f>-3256/E7</f>
        <v>-104.81923832211957</v>
      </c>
      <c r="F107" s="181">
        <f>-3214/F7</f>
        <v>-100.8661812703992</v>
      </c>
      <c r="G107" s="181">
        <f>-3743/G7</f>
        <v>-96.893606005695048</v>
      </c>
      <c r="H107" s="181">
        <f>-3900/H7</f>
        <v>-63.671390321948671</v>
      </c>
      <c r="I107" s="181">
        <f>-3561/I7</f>
        <v>-53.162544367435146</v>
      </c>
      <c r="J107" s="181">
        <f>-3057/J7</f>
        <v>-52.599204215507037</v>
      </c>
      <c r="K107" s="192">
        <f>J107*(1+K109*K108)*(1+0.75*((K16+K22+K26+K30+K38+K54+K57)/(J16+J22+J26+J30+J38+J54+J57)-1))*J7/K7</f>
        <v>-53.28361268447587</v>
      </c>
      <c r="L107" s="192">
        <f>K107*(1+L109*L108)*(1+0.3*((L16+L22+L26+L30+L38+L54+L57)/(K16+K22+K26+K30+K38+K54+K57)-1))*K7/L7</f>
        <v>-53.179511758858553</v>
      </c>
      <c r="M107" s="192">
        <f t="shared" ref="M107:O107" si="100">L107*(1+M109*M108)*(1+0.3*((M16+M22+M26+M30+M38+M54+M57)/(L16+L22+L26+L30+L38+L54+L57)-1))*L7/M7</f>
        <v>-54.179912074825367</v>
      </c>
      <c r="N107" s="192">
        <f t="shared" si="100"/>
        <v>-55.384857237086734</v>
      </c>
      <c r="O107" s="192">
        <f t="shared" si="100"/>
        <v>-55.032938144211847</v>
      </c>
      <c r="P107" s="164"/>
      <c r="R107" s="172"/>
      <c r="S107" s="172"/>
      <c r="T107" s="172"/>
      <c r="U107" s="151"/>
      <c r="V107" s="151"/>
      <c r="W107" s="151"/>
      <c r="X107" s="151"/>
      <c r="Y107" s="151"/>
      <c r="Z107" s="151"/>
      <c r="AA107" s="151"/>
      <c r="AB107" s="151"/>
      <c r="AC107" s="151"/>
    </row>
    <row r="108" spans="1:29" ht="15.75" customHeight="1" outlineLevel="1">
      <c r="A108" s="202" t="s">
        <v>155</v>
      </c>
      <c r="B108" s="202"/>
      <c r="C108" s="186"/>
      <c r="D108" s="178">
        <f t="shared" ref="D108:J108" si="101">(D107/C107)/(1+0.75*((D16+D22+D26+D30+D38+D57)/(C16+C22+C26+C30+C38+C57)-1))-1</f>
        <v>0.15639710222075931</v>
      </c>
      <c r="E108" s="178">
        <f t="shared" si="101"/>
        <v>2.5364718059346369E-3</v>
      </c>
      <c r="F108" s="178">
        <f t="shared" si="101"/>
        <v>-0.13810496293512742</v>
      </c>
      <c r="G108" s="178">
        <f t="shared" si="101"/>
        <v>-4.7466220580342444E-2</v>
      </c>
      <c r="H108" s="178">
        <f t="shared" si="101"/>
        <v>-0.35017316944271915</v>
      </c>
      <c r="I108" s="178">
        <f t="shared" si="101"/>
        <v>-0.20810888689127816</v>
      </c>
      <c r="J108" s="178">
        <f t="shared" si="101"/>
        <v>-0.10116026245720655</v>
      </c>
      <c r="K108" s="179">
        <f>[7]Macro!O$7</f>
        <v>0.04</v>
      </c>
      <c r="L108" s="179">
        <f>[7]Macro!P$7</f>
        <v>4.4999999999999998E-2</v>
      </c>
      <c r="M108" s="179">
        <f>[7]Macro!Q$7</f>
        <v>4.4999999999999998E-2</v>
      </c>
      <c r="N108" s="179">
        <f>[7]Macro!R$7</f>
        <v>4.4999999999999998E-2</v>
      </c>
      <c r="O108" s="179">
        <f>[7]Macro!S$7</f>
        <v>4.4999999999999998E-2</v>
      </c>
      <c r="P108" s="164"/>
      <c r="R108" s="172"/>
      <c r="S108" s="172"/>
      <c r="T108" s="172"/>
      <c r="U108" s="151"/>
      <c r="V108" s="151"/>
      <c r="W108" s="151"/>
      <c r="X108" s="151"/>
      <c r="Y108" s="151"/>
      <c r="Z108" s="151"/>
      <c r="AA108" s="151"/>
      <c r="AB108" s="151"/>
      <c r="AC108" s="151"/>
    </row>
    <row r="109" spans="1:29" ht="15.75" customHeight="1" outlineLevel="1">
      <c r="A109" s="202" t="s">
        <v>156</v>
      </c>
      <c r="B109" s="202"/>
      <c r="C109" s="186"/>
      <c r="D109" s="178"/>
      <c r="E109" s="178"/>
      <c r="F109" s="178"/>
      <c r="G109" s="209"/>
      <c r="H109" s="209"/>
      <c r="I109" s="209"/>
      <c r="J109" s="209"/>
      <c r="K109" s="209">
        <f t="shared" ref="K109:O109" si="102">K106</f>
        <v>0.4</v>
      </c>
      <c r="L109" s="209">
        <f t="shared" si="102"/>
        <v>0.4</v>
      </c>
      <c r="M109" s="209">
        <f t="shared" si="102"/>
        <v>0.4</v>
      </c>
      <c r="N109" s="209">
        <f t="shared" si="102"/>
        <v>0.4</v>
      </c>
      <c r="O109" s="209">
        <f t="shared" si="102"/>
        <v>0.4</v>
      </c>
      <c r="P109" s="164"/>
      <c r="R109" s="172"/>
      <c r="S109" s="172"/>
      <c r="T109" s="172"/>
      <c r="U109" s="151"/>
      <c r="V109" s="151"/>
      <c r="W109" s="151"/>
      <c r="X109" s="151"/>
      <c r="Y109" s="151"/>
      <c r="Z109" s="151"/>
      <c r="AA109" s="151"/>
      <c r="AB109" s="151"/>
      <c r="AC109" s="151"/>
    </row>
    <row r="110" spans="1:29" ht="15.75" customHeight="1" outlineLevel="1">
      <c r="A110" s="180" t="s">
        <v>2</v>
      </c>
      <c r="B110" s="180"/>
      <c r="C110" s="181">
        <f t="shared" ref="C110:O110" si="103">-C141</f>
        <v>-49.110671936758891</v>
      </c>
      <c r="D110" s="181">
        <f t="shared" si="103"/>
        <v>-65.204081632653057</v>
      </c>
      <c r="E110" s="181">
        <f t="shared" si="103"/>
        <v>-63.419502301773818</v>
      </c>
      <c r="F110" s="181">
        <f t="shared" si="103"/>
        <v>-80.529751443635448</v>
      </c>
      <c r="G110" s="181">
        <f t="shared" si="103"/>
        <v>-100.20709293295366</v>
      </c>
      <c r="H110" s="181">
        <f t="shared" si="103"/>
        <v>-75.001632599751844</v>
      </c>
      <c r="I110" s="181">
        <f t="shared" si="103"/>
        <v>-90.992897478100872</v>
      </c>
      <c r="J110" s="181">
        <f t="shared" si="103"/>
        <v>-136.90934509086998</v>
      </c>
      <c r="K110" s="192">
        <f t="shared" si="103"/>
        <v>-137.21875</v>
      </c>
      <c r="L110" s="192">
        <f t="shared" si="103"/>
        <v>-153.81721527099609</v>
      </c>
      <c r="M110" s="192">
        <f t="shared" si="103"/>
        <v>-159.42057810016038</v>
      </c>
      <c r="N110" s="192">
        <f t="shared" si="103"/>
        <v>-163.34793424870625</v>
      </c>
      <c r="O110" s="192">
        <f t="shared" si="103"/>
        <v>-151.62791084451973</v>
      </c>
      <c r="P110" s="164"/>
      <c r="Q110" s="403">
        <f>-6151/Q$7</f>
        <v>-106.03344250991209</v>
      </c>
      <c r="R110" s="208">
        <f>Q110/J110</f>
        <v>0.77447921790536056</v>
      </c>
      <c r="S110" s="172"/>
      <c r="T110" s="172"/>
      <c r="U110" s="151"/>
      <c r="V110" s="151"/>
      <c r="W110" s="151"/>
      <c r="X110" s="151"/>
      <c r="Y110" s="151"/>
      <c r="Z110" s="151"/>
      <c r="AA110" s="151"/>
      <c r="AB110" s="151"/>
      <c r="AC110" s="151"/>
    </row>
    <row r="111" spans="1:29" ht="15.75" customHeight="1" outlineLevel="1">
      <c r="A111" s="180" t="s">
        <v>158</v>
      </c>
      <c r="B111" s="180"/>
      <c r="C111" s="181">
        <f>(-161-110+30)/C7</f>
        <v>-7.9380764163372861</v>
      </c>
      <c r="D111" s="181">
        <f>(-487+164-14)/D7</f>
        <v>-11.462585034013607</v>
      </c>
      <c r="E111" s="181">
        <f>(102-8)/E7</f>
        <v>3.0261082316582431</v>
      </c>
      <c r="F111" s="181">
        <f>-217/F7</f>
        <v>-6.8101933216168717</v>
      </c>
      <c r="G111" s="181">
        <f>(-97-426)/G7</f>
        <v>-13.538700491845715</v>
      </c>
      <c r="H111" s="181">
        <f>(-205-232)/H7</f>
        <v>-7.1344609155619407</v>
      </c>
      <c r="I111" s="181">
        <f>(-25-81)/I7</f>
        <v>-1.582485173532189</v>
      </c>
      <c r="J111" s="181">
        <f>(-26-15)/J7</f>
        <v>-0.70545219916120006</v>
      </c>
      <c r="K111" s="182">
        <v>0</v>
      </c>
      <c r="L111" s="182">
        <v>0</v>
      </c>
      <c r="M111" s="182">
        <v>0</v>
      </c>
      <c r="N111" s="182">
        <v>0</v>
      </c>
      <c r="O111" s="182">
        <v>0</v>
      </c>
      <c r="P111" s="164"/>
      <c r="R111" s="172"/>
      <c r="S111" s="172"/>
      <c r="T111" s="172"/>
      <c r="U111" s="151"/>
      <c r="V111" s="151"/>
      <c r="W111" s="151"/>
      <c r="X111" s="151"/>
      <c r="Y111" s="151"/>
      <c r="Z111" s="151"/>
      <c r="AA111" s="151"/>
      <c r="AB111" s="151"/>
      <c r="AC111" s="151"/>
    </row>
    <row r="112" spans="1:29" ht="15.75">
      <c r="A112" s="210" t="s">
        <v>10</v>
      </c>
      <c r="B112" s="210"/>
      <c r="C112" s="174">
        <f t="shared" ref="C112:O112" si="104">C9+C61</f>
        <v>289.52569169960475</v>
      </c>
      <c r="D112" s="174">
        <f t="shared" si="104"/>
        <v>623.36734693877543</v>
      </c>
      <c r="E112" s="174">
        <f t="shared" si="104"/>
        <v>593.7932588610247</v>
      </c>
      <c r="F112" s="174">
        <f t="shared" si="104"/>
        <v>409.42756716043186</v>
      </c>
      <c r="G112" s="174">
        <f t="shared" si="104"/>
        <v>431.47812580895652</v>
      </c>
      <c r="H112" s="174">
        <f t="shared" si="104"/>
        <v>589.30320642591255</v>
      </c>
      <c r="I112" s="174">
        <f t="shared" si="104"/>
        <v>362.76233237413828</v>
      </c>
      <c r="J112" s="174">
        <f t="shared" si="104"/>
        <v>370.67211528121288</v>
      </c>
      <c r="K112" s="175">
        <f t="shared" si="104"/>
        <v>364.61793082609597</v>
      </c>
      <c r="L112" s="175">
        <f t="shared" si="104"/>
        <v>501.1199229488559</v>
      </c>
      <c r="M112" s="175">
        <f t="shared" si="104"/>
        <v>586.61038575873363</v>
      </c>
      <c r="N112" s="175">
        <f t="shared" si="104"/>
        <v>720.93313223570226</v>
      </c>
      <c r="O112" s="175">
        <f t="shared" si="104"/>
        <v>757.82364367083073</v>
      </c>
      <c r="P112" s="164"/>
      <c r="R112" s="172"/>
      <c r="S112" s="172"/>
      <c r="T112" s="172"/>
      <c r="U112" s="211"/>
      <c r="V112" s="151"/>
      <c r="W112" s="151"/>
      <c r="X112" s="151"/>
      <c r="Y112" s="151"/>
      <c r="Z112" s="151"/>
      <c r="AA112" s="151"/>
      <c r="AB112" s="151"/>
      <c r="AC112" s="151"/>
    </row>
    <row r="113" spans="1:30" ht="15.75">
      <c r="A113" s="210"/>
      <c r="B113" s="210"/>
      <c r="C113" s="212">
        <f t="shared" ref="C113:O113" si="105">C112/C9</f>
        <v>0.19755472647997482</v>
      </c>
      <c r="D113" s="212">
        <f t="shared" si="105"/>
        <v>0.29020458576133767</v>
      </c>
      <c r="E113" s="212">
        <f t="shared" si="105"/>
        <v>0.26651158086376059</v>
      </c>
      <c r="F113" s="212">
        <f t="shared" si="105"/>
        <v>0.1978495275936851</v>
      </c>
      <c r="G113" s="212">
        <f t="shared" si="105"/>
        <v>0.23319063208259874</v>
      </c>
      <c r="H113" s="212">
        <f t="shared" si="105"/>
        <v>0.35509035640856634</v>
      </c>
      <c r="I113" s="212">
        <f t="shared" si="105"/>
        <v>0.28398625590201482</v>
      </c>
      <c r="J113" s="212">
        <f t="shared" si="105"/>
        <v>0.2392550143266475</v>
      </c>
      <c r="K113" s="179">
        <f t="shared" si="105"/>
        <v>0.23671173313798616</v>
      </c>
      <c r="L113" s="179">
        <f t="shared" si="105"/>
        <v>0.29320322656538417</v>
      </c>
      <c r="M113" s="179">
        <f t="shared" si="105"/>
        <v>0.31290007983760104</v>
      </c>
      <c r="N113" s="179">
        <f t="shared" si="105"/>
        <v>0.34166589298316902</v>
      </c>
      <c r="O113" s="179">
        <f t="shared" si="105"/>
        <v>0.35391049063156105</v>
      </c>
      <c r="P113" s="164"/>
      <c r="R113" s="172"/>
      <c r="S113" s="172"/>
      <c r="T113" s="172"/>
      <c r="U113" s="211"/>
      <c r="V113" s="151"/>
      <c r="W113" s="151"/>
      <c r="X113" s="151"/>
      <c r="Y113" s="151"/>
      <c r="Z113" s="151"/>
      <c r="AA113" s="151"/>
      <c r="AB113" s="151"/>
      <c r="AC113" s="151"/>
    </row>
    <row r="114" spans="1:30" ht="15.75">
      <c r="A114" s="210" t="s">
        <v>208</v>
      </c>
      <c r="B114" s="210"/>
      <c r="C114" s="174">
        <f>C112-C110-C111</f>
        <v>346.57444005270094</v>
      </c>
      <c r="D114" s="174">
        <f>D112-D110-D111</f>
        <v>700.03401360544206</v>
      </c>
      <c r="E114" s="174">
        <f t="shared" ref="E114:O114" si="106">E112-E110-E111</f>
        <v>654.18665293114032</v>
      </c>
      <c r="F114" s="174">
        <f t="shared" si="106"/>
        <v>496.76751192568418</v>
      </c>
      <c r="G114" s="174">
        <f>G112-G110-G111</f>
        <v>545.22391923375585</v>
      </c>
      <c r="H114" s="174">
        <f t="shared" si="106"/>
        <v>671.4392999412263</v>
      </c>
      <c r="I114" s="174">
        <f t="shared" si="106"/>
        <v>455.33771502577133</v>
      </c>
      <c r="J114" s="174">
        <f t="shared" si="106"/>
        <v>508.28691257124405</v>
      </c>
      <c r="K114" s="175">
        <f t="shared" si="106"/>
        <v>501.83668082609597</v>
      </c>
      <c r="L114" s="175">
        <f t="shared" si="106"/>
        <v>654.93713821985193</v>
      </c>
      <c r="M114" s="175">
        <f t="shared" si="106"/>
        <v>746.03096385889398</v>
      </c>
      <c r="N114" s="175">
        <f t="shared" si="106"/>
        <v>884.28106648440848</v>
      </c>
      <c r="O114" s="175">
        <f t="shared" si="106"/>
        <v>909.45155451535049</v>
      </c>
      <c r="P114" s="164"/>
      <c r="Q114" s="404"/>
      <c r="R114" s="404"/>
      <c r="S114" s="172"/>
      <c r="T114" s="172"/>
      <c r="U114" s="211"/>
      <c r="V114" s="151"/>
      <c r="W114" s="151"/>
      <c r="X114" s="151"/>
      <c r="Y114" s="151"/>
      <c r="Z114" s="151"/>
      <c r="AA114" s="151"/>
      <c r="AB114" s="151"/>
      <c r="AC114" s="151"/>
    </row>
    <row r="115" spans="1:30" ht="15.75">
      <c r="A115" s="210" t="s">
        <v>207</v>
      </c>
      <c r="B115" s="318"/>
      <c r="C115" s="275">
        <f>C114-C111</f>
        <v>354.51251646903825</v>
      </c>
      <c r="D115" s="275">
        <f t="shared" ref="D115:J115" si="107">D114-D111</f>
        <v>711.49659863945567</v>
      </c>
      <c r="E115" s="275">
        <f t="shared" si="107"/>
        <v>651.1605446994821</v>
      </c>
      <c r="F115" s="275">
        <f t="shared" si="107"/>
        <v>503.57770524730103</v>
      </c>
      <c r="G115" s="275">
        <f t="shared" si="107"/>
        <v>558.76261972560155</v>
      </c>
      <c r="H115" s="275">
        <f t="shared" si="107"/>
        <v>678.57376085678823</v>
      </c>
      <c r="I115" s="275">
        <f t="shared" si="107"/>
        <v>456.92020019930351</v>
      </c>
      <c r="J115" s="275">
        <f t="shared" si="107"/>
        <v>508.99236477040523</v>
      </c>
      <c r="K115" s="276">
        <f>K114-K111</f>
        <v>501.83668082609597</v>
      </c>
      <c r="L115" s="276">
        <f t="shared" ref="L115:O115" si="108">L114-L111</f>
        <v>654.93713821985193</v>
      </c>
      <c r="M115" s="276">
        <f t="shared" si="108"/>
        <v>746.03096385889398</v>
      </c>
      <c r="N115" s="276">
        <f t="shared" si="108"/>
        <v>884.28106648440848</v>
      </c>
      <c r="O115" s="276">
        <f t="shared" si="108"/>
        <v>909.45155451535049</v>
      </c>
      <c r="P115" s="164"/>
      <c r="Q115" s="1">
        <v>371</v>
      </c>
      <c r="R115" s="208">
        <f>Q115/J115</f>
        <v>0.72889109086606751</v>
      </c>
      <c r="S115" s="172"/>
      <c r="T115" s="172"/>
      <c r="U115" s="211"/>
      <c r="V115" s="151"/>
      <c r="W115" s="151"/>
      <c r="X115" s="151"/>
      <c r="Y115" s="151"/>
      <c r="Z115" s="151"/>
      <c r="AA115" s="151"/>
      <c r="AB115" s="151"/>
      <c r="AC115" s="151"/>
    </row>
    <row r="116" spans="1:30" ht="15.75">
      <c r="A116" s="176" t="s">
        <v>159</v>
      </c>
      <c r="B116" s="176"/>
      <c r="C116" s="212">
        <f t="shared" ref="C116:O116" si="109">C115/C9</f>
        <v>0.2418977839708725</v>
      </c>
      <c r="D116" s="212">
        <f t="shared" si="109"/>
        <v>0.33123258170762598</v>
      </c>
      <c r="E116" s="212">
        <f t="shared" si="109"/>
        <v>0.2922596772096116</v>
      </c>
      <c r="F116" s="212">
        <f t="shared" si="109"/>
        <v>0.24334612293180061</v>
      </c>
      <c r="G116" s="212">
        <f t="shared" si="109"/>
        <v>0.30198102912784341</v>
      </c>
      <c r="H116" s="212">
        <f t="shared" si="109"/>
        <v>0.40888119386540478</v>
      </c>
      <c r="I116" s="212">
        <f t="shared" si="109"/>
        <v>0.35769716235800098</v>
      </c>
      <c r="J116" s="212">
        <f t="shared" si="109"/>
        <v>0.32853557228848751</v>
      </c>
      <c r="K116" s="179">
        <f t="shared" si="109"/>
        <v>0.32579481267260169</v>
      </c>
      <c r="L116" s="179">
        <f t="shared" si="109"/>
        <v>0.38320105294069112</v>
      </c>
      <c r="M116" s="179">
        <f t="shared" si="109"/>
        <v>0.39793558692426362</v>
      </c>
      <c r="N116" s="179">
        <f t="shared" si="109"/>
        <v>0.41908003214052086</v>
      </c>
      <c r="O116" s="179">
        <f t="shared" si="109"/>
        <v>0.42472209537443389</v>
      </c>
      <c r="P116" s="164"/>
      <c r="R116" s="172"/>
      <c r="S116" s="172"/>
      <c r="T116" s="172"/>
      <c r="U116" s="211"/>
      <c r="V116" s="151"/>
      <c r="W116" s="151"/>
      <c r="X116" s="151"/>
      <c r="Y116" s="151"/>
      <c r="Z116" s="151"/>
      <c r="AA116" s="151"/>
      <c r="AB116" s="151"/>
      <c r="AC116" s="151"/>
    </row>
    <row r="117" spans="1:30" ht="15.75">
      <c r="A117" s="210" t="s">
        <v>160</v>
      </c>
      <c r="B117" s="210"/>
      <c r="C117" s="174">
        <f t="shared" ref="C117:E117" si="110">C118+C121+C130+C131+C132</f>
        <v>-19.960474308300398</v>
      </c>
      <c r="D117" s="174">
        <f t="shared" si="110"/>
        <v>244.79591836734693</v>
      </c>
      <c r="E117" s="174">
        <f t="shared" si="110"/>
        <v>-56.94878150854715</v>
      </c>
      <c r="F117" s="174">
        <f>F118+F121+F130+F131+F132</f>
        <v>19.143861410996749</v>
      </c>
      <c r="G117" s="174">
        <f>G118+G121+G130+G131+G132</f>
        <v>-261.89490033652601</v>
      </c>
      <c r="H117" s="174">
        <f>H118+H121+H130+H131+H132</f>
        <v>-267.43616534970283</v>
      </c>
      <c r="I117" s="174">
        <f>I118+I121+I130+I131+I132</f>
        <v>113.64035038610399</v>
      </c>
      <c r="J117" s="174">
        <f>J118+J121+J130+J131+J132</f>
        <v>-65.090869986019982</v>
      </c>
      <c r="K117" s="175">
        <f t="shared" ref="K117:O117" si="111">K118+K121+K130+K132</f>
        <v>-127.22754338709002</v>
      </c>
      <c r="L117" s="175">
        <f t="shared" si="111"/>
        <v>-107.07819719388401</v>
      </c>
      <c r="M117" s="175">
        <f t="shared" si="111"/>
        <v>-84.354485896213532</v>
      </c>
      <c r="N117" s="175">
        <f t="shared" si="111"/>
        <v>-80.252788152980898</v>
      </c>
      <c r="O117" s="175">
        <f t="shared" si="111"/>
        <v>-75.417342436201352</v>
      </c>
      <c r="P117" s="164"/>
      <c r="R117" s="172"/>
      <c r="S117" s="172"/>
      <c r="T117" s="172"/>
      <c r="U117" s="211"/>
      <c r="V117" s="151"/>
      <c r="W117" s="151"/>
      <c r="X117" s="151"/>
      <c r="Y117" s="151"/>
      <c r="Z117" s="151"/>
      <c r="AA117" s="151"/>
      <c r="AB117" s="151"/>
      <c r="AC117" s="151"/>
    </row>
    <row r="118" spans="1:30" ht="15.75" customHeight="1" outlineLevel="1">
      <c r="A118" s="214" t="s">
        <v>97</v>
      </c>
      <c r="B118" s="214"/>
      <c r="C118" s="215">
        <f>361/C7</f>
        <v>11.89064558629776</v>
      </c>
      <c r="D118" s="215">
        <f>895/D7</f>
        <v>30.442176870748302</v>
      </c>
      <c r="E118" s="215">
        <f>255/E7</f>
        <v>8.2091233943920425</v>
      </c>
      <c r="F118" s="216">
        <f>219/F7</f>
        <v>6.8729600803414508</v>
      </c>
      <c r="G118" s="216">
        <f>541/G7</f>
        <v>14.004659590991457</v>
      </c>
      <c r="H118" s="216">
        <f>775/H7</f>
        <v>12.652648076797492</v>
      </c>
      <c r="I118" s="216">
        <f>521/I7</f>
        <v>7.7780639189648157</v>
      </c>
      <c r="J118" s="216">
        <f>226/J7</f>
        <v>3.8885901709861272</v>
      </c>
      <c r="K118" s="217">
        <f>J119*K120</f>
        <v>2.7624196026848651</v>
      </c>
      <c r="L118" s="217">
        <f t="shared" ref="L118:O118" si="112">K119*L120</f>
        <v>1.0237468248569856</v>
      </c>
      <c r="M118" s="217">
        <f t="shared" si="112"/>
        <v>1.2950887158476423</v>
      </c>
      <c r="N118" s="217">
        <f t="shared" si="112"/>
        <v>2.3256223984840338</v>
      </c>
      <c r="O118" s="217">
        <f t="shared" si="112"/>
        <v>5.2714805405332568</v>
      </c>
      <c r="P118" s="164"/>
      <c r="Q118" s="403">
        <f>188/Q$7</f>
        <v>3.2408205481813481</v>
      </c>
      <c r="R118" s="208">
        <f>Q118/J118</f>
        <v>0.83341787271953427</v>
      </c>
      <c r="S118" s="172"/>
      <c r="T118" s="172"/>
      <c r="U118" s="151"/>
      <c r="V118" s="151"/>
      <c r="W118" s="151"/>
      <c r="X118" s="151"/>
      <c r="Y118" s="151"/>
      <c r="Z118" s="151"/>
      <c r="AA118" s="151"/>
      <c r="AB118" s="151"/>
      <c r="AC118" s="151"/>
    </row>
    <row r="119" spans="1:30" ht="15.75" customHeight="1" outlineLevel="1">
      <c r="A119" s="218" t="s">
        <v>161</v>
      </c>
      <c r="B119" s="218"/>
      <c r="C119" s="215">
        <f>7597/C8</f>
        <v>248.79646307515966</v>
      </c>
      <c r="D119" s="215">
        <f>14630/D8</f>
        <v>455.19601742377097</v>
      </c>
      <c r="E119" s="215">
        <f>(27453+1435)/E8</f>
        <v>951.26448893572183</v>
      </c>
      <c r="F119" s="216">
        <f>(12787+767)/F8</f>
        <v>412.35168846972925</v>
      </c>
      <c r="G119" s="216">
        <f>cover!K70</f>
        <v>440.34626186497917</v>
      </c>
      <c r="H119" s="216">
        <f>cover!L70</f>
        <v>417.39672103256328</v>
      </c>
      <c r="I119" s="216">
        <f>cover!M70</f>
        <v>450.7490916330695</v>
      </c>
      <c r="J119" s="216">
        <f>cover!N70</f>
        <v>248.29861111111111</v>
      </c>
      <c r="K119" s="217">
        <f>(J119*J8+(K138+K141+J167+K144+K160+K131)*K7)/K8</f>
        <v>92.01893676628309</v>
      </c>
      <c r="L119" s="217">
        <f>(K119*K8+(L138+L141+K167+L144+L160+L131)*L7)/L8</f>
        <v>116.40835776653962</v>
      </c>
      <c r="M119" s="217">
        <f>(L119*L8+(M138+M141+L167+M144+M160+M131)*M7)/M8</f>
        <v>209.03732762077115</v>
      </c>
      <c r="N119" s="217">
        <f>(M119*M8+(N138+N141+M167+N144+N160+N131)*N7)/N8</f>
        <v>473.82421390345723</v>
      </c>
      <c r="O119" s="217">
        <f>(N119*N8+(O138+O141+N167+O144+O160+O131)*O7)/O8</f>
        <v>703.03118898637911</v>
      </c>
      <c r="P119" s="164"/>
      <c r="R119" s="172"/>
      <c r="S119" s="172"/>
      <c r="T119" s="172"/>
      <c r="U119" s="151"/>
      <c r="V119" s="151"/>
      <c r="W119" s="151"/>
      <c r="X119" s="151"/>
      <c r="Y119" s="151"/>
      <c r="Z119" s="151"/>
      <c r="AA119" s="151"/>
      <c r="AB119" s="151"/>
      <c r="AC119" s="151"/>
    </row>
    <row r="120" spans="1:30" ht="15.75" customHeight="1" outlineLevel="1">
      <c r="A120" s="219" t="s">
        <v>162</v>
      </c>
      <c r="B120" s="219"/>
      <c r="C120" s="178"/>
      <c r="D120" s="178">
        <f t="shared" ref="D120:J120" si="113">D118/AVERAGE(C119:D119)</f>
        <v>8.6484380768310054E-2</v>
      </c>
      <c r="E120" s="178">
        <f t="shared" si="113"/>
        <v>1.1673450277876175E-2</v>
      </c>
      <c r="F120" s="220">
        <f t="shared" si="113"/>
        <v>1.0080490675049946E-2</v>
      </c>
      <c r="G120" s="220">
        <f t="shared" si="113"/>
        <v>3.2847879100669178E-2</v>
      </c>
      <c r="H120" s="220">
        <f t="shared" si="113"/>
        <v>2.9502189651393167E-2</v>
      </c>
      <c r="I120" s="220">
        <f t="shared" si="113"/>
        <v>1.7918796141128297E-2</v>
      </c>
      <c r="J120" s="220">
        <f t="shared" si="113"/>
        <v>1.1125392890130627E-2</v>
      </c>
      <c r="K120" s="179">
        <f>J120</f>
        <v>1.1125392890130627E-2</v>
      </c>
      <c r="L120" s="179">
        <f t="shared" ref="L120:O120" si="114">K120</f>
        <v>1.1125392890130627E-2</v>
      </c>
      <c r="M120" s="179">
        <f t="shared" si="114"/>
        <v>1.1125392890130627E-2</v>
      </c>
      <c r="N120" s="179">
        <f t="shared" si="114"/>
        <v>1.1125392890130627E-2</v>
      </c>
      <c r="O120" s="179">
        <f t="shared" si="114"/>
        <v>1.1125392890130627E-2</v>
      </c>
      <c r="P120" s="164"/>
      <c r="R120" s="172"/>
      <c r="S120" s="172"/>
      <c r="T120" s="172"/>
      <c r="U120" s="151"/>
      <c r="V120" s="151"/>
      <c r="W120" s="151"/>
      <c r="X120" s="151"/>
      <c r="Y120" s="151"/>
      <c r="Z120" s="151"/>
      <c r="AA120" s="151"/>
      <c r="AB120" s="151"/>
      <c r="AC120" s="151"/>
    </row>
    <row r="121" spans="1:30" ht="15.75" customHeight="1" outlineLevel="1">
      <c r="A121" s="214" t="s">
        <v>98</v>
      </c>
      <c r="B121" s="214"/>
      <c r="C121" s="215">
        <f>-695/C7</f>
        <v>-22.891963109354414</v>
      </c>
      <c r="D121" s="215">
        <f>-1240/D7</f>
        <v>-42.176870748299322</v>
      </c>
      <c r="E121" s="215">
        <f>-3435/E7</f>
        <v>-110.58172101857515</v>
      </c>
      <c r="F121" s="216">
        <f>-3178/F7</f>
        <v>-99.73637961335676</v>
      </c>
      <c r="G121" s="216">
        <f>-2704/G7</f>
        <v>-69.997411338338068</v>
      </c>
      <c r="H121" s="216">
        <f>-5214/H7</f>
        <v>-85.123751061189836</v>
      </c>
      <c r="I121" s="216">
        <f>-5772/I7</f>
        <v>-86.170796430450892</v>
      </c>
      <c r="J121" s="216">
        <f>-4110/J7</f>
        <v>-70.717281428110539</v>
      </c>
      <c r="K121" s="221">
        <f>AVERAGE(J122:K122)*K123</f>
        <v>-70.190873711357938</v>
      </c>
      <c r="L121" s="221">
        <f t="shared" ref="L121:O121" si="115">AVERAGE(K122:L122)*L123</f>
        <v>-69.406566532563005</v>
      </c>
      <c r="M121" s="221">
        <f t="shared" si="115"/>
        <v>-68.229560824552692</v>
      </c>
      <c r="N121" s="221">
        <f t="shared" si="115"/>
        <v>-67.486636053565348</v>
      </c>
      <c r="O121" s="221">
        <f t="shared" si="115"/>
        <v>-66.808579378130958</v>
      </c>
      <c r="P121" s="164"/>
      <c r="Q121" s="403">
        <f>-3234/Q$7</f>
        <v>-55.749008791587656</v>
      </c>
      <c r="R121" s="208">
        <f>Q121/J121</f>
        <v>0.78833642450269725</v>
      </c>
      <c r="S121" s="172"/>
      <c r="T121" s="172"/>
      <c r="U121" s="151"/>
      <c r="V121" s="151"/>
      <c r="W121" s="151"/>
      <c r="X121" s="151"/>
      <c r="Y121" s="151"/>
      <c r="Z121" s="151"/>
      <c r="AA121" s="151"/>
      <c r="AB121" s="151"/>
      <c r="AC121" s="151"/>
    </row>
    <row r="122" spans="1:30" ht="15.75" customHeight="1" outlineLevel="1">
      <c r="A122" s="218" t="s">
        <v>20</v>
      </c>
      <c r="B122" s="218"/>
      <c r="C122" s="215">
        <f>(22719+38+658+13134+20)/C8</f>
        <v>1197.6093008023579</v>
      </c>
      <c r="D122" s="215">
        <f>(32391+24+315+16052+18)/D8</f>
        <v>1518.3571873055382</v>
      </c>
      <c r="E122" s="215">
        <f>(38176+10+629+23383+16)/E8</f>
        <v>2048.6696522655429</v>
      </c>
      <c r="F122" s="216">
        <f>(22720+187+27467+11)/F8</f>
        <v>1532.8567082446</v>
      </c>
      <c r="G122" s="216">
        <f>(28002+750+52559)/G8</f>
        <v>1445.3233317928116</v>
      </c>
      <c r="H122" s="216">
        <f>cover!L81+cover!L84</f>
        <v>1149.0243912478545</v>
      </c>
      <c r="I122" s="216">
        <f>cover!M81+cover!M84</f>
        <v>1313.2082358601695</v>
      </c>
      <c r="J122" s="216">
        <f>cover!N81+cover!N84</f>
        <v>1293.8020833333333</v>
      </c>
      <c r="K122" s="217">
        <f>(J122*K124+J122*(1-K124)*J8/K8)</f>
        <v>1293.8020833333333</v>
      </c>
      <c r="L122" s="217">
        <f>(K122*L124+K122*(1-L124)*K8/L8)</f>
        <v>1264.8884024445324</v>
      </c>
      <c r="M122" s="217">
        <f>(L122*M124+L122*(1-M124)*L8/M8)</f>
        <v>1250.411472657046</v>
      </c>
      <c r="N122" s="217">
        <f>(M122*N124+M122*(1-N124)*M8/N8)</f>
        <v>1237.5002944002863</v>
      </c>
      <c r="O122" s="217">
        <f>(N122*O124+N122*(1-O124)*N8/O8)</f>
        <v>1225.414743227444</v>
      </c>
      <c r="P122" s="164" t="s">
        <v>117</v>
      </c>
      <c r="R122" s="172"/>
      <c r="S122" s="172"/>
      <c r="T122" s="172"/>
      <c r="U122" s="151"/>
      <c r="V122" s="151"/>
      <c r="W122" s="151"/>
      <c r="X122" s="151"/>
      <c r="Y122" s="151"/>
      <c r="Z122" s="151"/>
      <c r="AA122" s="151"/>
      <c r="AB122" s="151"/>
      <c r="AC122" s="151"/>
    </row>
    <row r="123" spans="1:30" ht="15.75" customHeight="1" outlineLevel="1">
      <c r="A123" s="219" t="s">
        <v>162</v>
      </c>
      <c r="B123" s="219"/>
      <c r="C123" s="178"/>
      <c r="D123" s="220">
        <f t="shared" ref="D123:J123" si="116">D121/AVERAGE(C122:D122)</f>
        <v>-3.1058461827842537E-2</v>
      </c>
      <c r="E123" s="220">
        <f t="shared" si="116"/>
        <v>-6.2002180522909726E-2</v>
      </c>
      <c r="F123" s="220">
        <f t="shared" si="116"/>
        <v>-5.5694901879292935E-2</v>
      </c>
      <c r="G123" s="220">
        <f t="shared" si="116"/>
        <v>-4.700683665683205E-2</v>
      </c>
      <c r="H123" s="220">
        <f t="shared" si="116"/>
        <v>-6.5622468649978671E-2</v>
      </c>
      <c r="I123" s="220">
        <f t="shared" si="116"/>
        <v>-6.9994033448952733E-2</v>
      </c>
      <c r="J123" s="220">
        <f t="shared" si="116"/>
        <v>-5.4251631385937464E-2</v>
      </c>
      <c r="K123" s="179">
        <f>J123</f>
        <v>-5.4251631385937464E-2</v>
      </c>
      <c r="L123" s="179">
        <f t="shared" ref="L123:O124" si="117">K123</f>
        <v>-5.4251631385937464E-2</v>
      </c>
      <c r="M123" s="179">
        <f t="shared" si="117"/>
        <v>-5.4251631385937464E-2</v>
      </c>
      <c r="N123" s="179">
        <f t="shared" si="117"/>
        <v>-5.4251631385937464E-2</v>
      </c>
      <c r="O123" s="179">
        <f t="shared" si="117"/>
        <v>-5.4251631385937464E-2</v>
      </c>
      <c r="P123" s="164"/>
      <c r="R123" s="172"/>
      <c r="S123" s="172"/>
      <c r="T123" s="172"/>
      <c r="U123" s="151"/>
      <c r="V123" s="151"/>
      <c r="W123" s="151"/>
      <c r="X123" s="151"/>
      <c r="Y123" s="151"/>
      <c r="Z123" s="151"/>
      <c r="AA123" s="151"/>
      <c r="AB123" s="151"/>
      <c r="AC123" s="151"/>
    </row>
    <row r="124" spans="1:30" ht="15.75" customHeight="1" outlineLevel="1">
      <c r="A124" s="219" t="s">
        <v>163</v>
      </c>
      <c r="B124" s="219"/>
      <c r="C124" s="178"/>
      <c r="D124" s="220"/>
      <c r="E124" s="220">
        <v>0.73</v>
      </c>
      <c r="F124" s="220">
        <v>0.79</v>
      </c>
      <c r="G124" s="220">
        <v>0.85</v>
      </c>
      <c r="H124" s="220">
        <v>0.71350000000000002</v>
      </c>
      <c r="I124" s="220">
        <f>(4061+42966)/79117</f>
        <v>0.59439816979915816</v>
      </c>
      <c r="J124" s="220">
        <f>(3551+40550)/74523</f>
        <v>0.59177703527769954</v>
      </c>
      <c r="K124" s="179">
        <f t="shared" ref="K124:K125" si="118">J124</f>
        <v>0.59177703527769954</v>
      </c>
      <c r="L124" s="179">
        <f t="shared" si="117"/>
        <v>0.59177703527769954</v>
      </c>
      <c r="M124" s="179">
        <f t="shared" si="117"/>
        <v>0.59177703527769954</v>
      </c>
      <c r="N124" s="179">
        <f t="shared" si="117"/>
        <v>0.59177703527769954</v>
      </c>
      <c r="O124" s="179">
        <f t="shared" si="117"/>
        <v>0.59177703527769954</v>
      </c>
      <c r="P124" s="164"/>
      <c r="R124" s="172"/>
      <c r="S124" s="172"/>
      <c r="T124" s="172"/>
      <c r="U124" s="151"/>
      <c r="V124" s="151"/>
      <c r="W124" s="151"/>
      <c r="X124" s="151"/>
      <c r="Y124" s="151"/>
      <c r="Z124" s="151"/>
      <c r="AA124" s="151"/>
      <c r="AB124" s="151"/>
      <c r="AC124" s="151"/>
    </row>
    <row r="125" spans="1:30" ht="15.75" customHeight="1" outlineLevel="1">
      <c r="A125" s="214" t="s">
        <v>164</v>
      </c>
      <c r="B125" s="214"/>
      <c r="C125" s="215">
        <f>C126+C127+C128</f>
        <v>822.82626494187002</v>
      </c>
      <c r="D125" s="215">
        <f t="shared" ref="D125:O125" si="119">D126+D127+D128</f>
        <v>631.45612943372748</v>
      </c>
      <c r="E125" s="215">
        <f t="shared" si="119"/>
        <v>841.16893140851687</v>
      </c>
      <c r="F125" s="216">
        <f>F126+F127+F128</f>
        <v>581.21732498526387</v>
      </c>
      <c r="G125" s="216">
        <f>G126+G127+G128</f>
        <v>508.03441288350103</v>
      </c>
      <c r="H125" s="216">
        <f>H126+H127+H128</f>
        <v>499.30916390309363</v>
      </c>
      <c r="I125" s="216">
        <f>I126+I127+I128</f>
        <v>298.06049143065718</v>
      </c>
      <c r="J125" s="216">
        <f>J126+J127+J128</f>
        <v>394.0625</v>
      </c>
      <c r="K125" s="217">
        <f t="shared" si="119"/>
        <v>329.83596666666671</v>
      </c>
      <c r="L125" s="217">
        <f t="shared" si="119"/>
        <v>311.77936090028339</v>
      </c>
      <c r="M125" s="217">
        <f t="shared" si="119"/>
        <v>303.03809789282832</v>
      </c>
      <c r="N125" s="217">
        <f t="shared" si="119"/>
        <v>295.37308788227938</v>
      </c>
      <c r="O125" s="217">
        <f t="shared" si="119"/>
        <v>288.30674606691389</v>
      </c>
      <c r="P125" s="164"/>
      <c r="R125" s="172"/>
      <c r="S125" s="172"/>
      <c r="T125" s="172"/>
      <c r="U125" s="151"/>
      <c r="V125" s="151"/>
      <c r="W125" s="151"/>
      <c r="X125" s="151"/>
      <c r="Y125" s="151"/>
      <c r="Z125" s="151"/>
      <c r="AA125" s="151"/>
      <c r="AB125" s="151"/>
      <c r="AC125" s="151"/>
    </row>
    <row r="126" spans="1:30" ht="15.75" customHeight="1" outlineLevel="1">
      <c r="A126" s="222" t="s">
        <v>91</v>
      </c>
      <c r="B126" s="222"/>
      <c r="C126" s="215">
        <f>17435/C8</f>
        <v>570.98411658752252</v>
      </c>
      <c r="D126" s="215">
        <f>19616/D8</f>
        <v>610.32980709396395</v>
      </c>
      <c r="E126" s="215">
        <f>19857/E8</f>
        <v>653.87908324552166</v>
      </c>
      <c r="F126" s="216">
        <f>8949/F8</f>
        <v>272.25433526011562</v>
      </c>
      <c r="G126" s="216">
        <f>3475/G8</f>
        <v>61.768992854349598</v>
      </c>
      <c r="H126" s="216">
        <f>4808/H8</f>
        <v>65.969015966752053</v>
      </c>
      <c r="I126" s="216">
        <v>0</v>
      </c>
      <c r="J126" s="216">
        <v>0</v>
      </c>
      <c r="K126" s="217">
        <f>J126*J8/K8</f>
        <v>0</v>
      </c>
      <c r="L126" s="217">
        <f>K126*K8/L8</f>
        <v>0</v>
      </c>
      <c r="M126" s="217">
        <f>L126*L8/M8</f>
        <v>0</v>
      </c>
      <c r="N126" s="217">
        <f>M126*M8/N8</f>
        <v>0</v>
      </c>
      <c r="O126" s="217">
        <f>N126*N8/O8</f>
        <v>0</v>
      </c>
      <c r="P126" s="207"/>
      <c r="X126" s="342"/>
      <c r="Y126" s="223">
        <v>2012</v>
      </c>
      <c r="Z126" s="223">
        <v>2013</v>
      </c>
      <c r="AA126" s="223">
        <v>2014</v>
      </c>
      <c r="AB126" s="151"/>
      <c r="AC126" s="151"/>
      <c r="AD126" s="151"/>
    </row>
    <row r="127" spans="1:30" ht="15.75" customHeight="1" outlineLevel="1">
      <c r="A127" s="222" t="s">
        <v>165</v>
      </c>
      <c r="B127" s="222"/>
      <c r="C127" s="215">
        <v>0</v>
      </c>
      <c r="D127" s="215">
        <v>0</v>
      </c>
      <c r="E127" s="215">
        <f>(8833660*53.9*9.84516/1000000)/E8</f>
        <v>154.36044879523973</v>
      </c>
      <c r="F127" s="215">
        <f>(8833660+6382434)*62.5/1000000/3.2</f>
        <v>297.18933593749995</v>
      </c>
      <c r="G127" s="216">
        <f>24695/G8</f>
        <v>438.95979238508301</v>
      </c>
      <c r="H127" s="216">
        <f>31263/H8</f>
        <v>428.94953123306357</v>
      </c>
      <c r="I127" s="216">
        <f>17824/I8</f>
        <v>295.72113550014103</v>
      </c>
      <c r="J127" s="216">
        <f>22557/J8</f>
        <v>391.61458333333331</v>
      </c>
      <c r="K127" s="217">
        <f>19841700*16.5/1000000</f>
        <v>327.38805000000002</v>
      </c>
      <c r="L127" s="217">
        <f>K127*K8/L8</f>
        <v>309.46545347052819</v>
      </c>
      <c r="M127" s="217">
        <f>L127*L8/M8</f>
        <v>300.78906478111645</v>
      </c>
      <c r="N127" s="217">
        <f>M127*M8/N8</f>
        <v>293.18094154960687</v>
      </c>
      <c r="O127" s="217">
        <f>N127*N8/O8</f>
        <v>286.16704342641054</v>
      </c>
      <c r="P127" s="272" t="s">
        <v>166</v>
      </c>
      <c r="Q127" s="217">
        <f>24946/57.48</f>
        <v>433.99443284620742</v>
      </c>
      <c r="X127" s="343" t="s">
        <v>167</v>
      </c>
      <c r="Y127" s="224">
        <v>8833660</v>
      </c>
      <c r="Z127" s="224">
        <f>6382434</f>
        <v>6382434</v>
      </c>
      <c r="AA127" s="224">
        <v>4625606</v>
      </c>
      <c r="AB127" s="260">
        <f>Y127+Z127+AA127</f>
        <v>19841700</v>
      </c>
      <c r="AC127" s="151"/>
      <c r="AD127" s="151"/>
    </row>
    <row r="128" spans="1:30" ht="15.75" customHeight="1" outlineLevel="1">
      <c r="A128" s="222" t="s">
        <v>92</v>
      </c>
      <c r="B128" s="222"/>
      <c r="C128" s="215">
        <f>(6559+258+146+727)/C8</f>
        <v>251.84214835434747</v>
      </c>
      <c r="D128" s="215">
        <f>(196+138+345)/D8</f>
        <v>21.126322339763533</v>
      </c>
      <c r="E128" s="215">
        <f>(140+860)/E8</f>
        <v>32.929399367755536</v>
      </c>
      <c r="F128" s="216">
        <f>(140+247)/F8</f>
        <v>11.773653787648312</v>
      </c>
      <c r="G128" s="216">
        <f>(157+254)/G8</f>
        <v>7.3056276440683989</v>
      </c>
      <c r="H128" s="216">
        <f>(148+172)/H8</f>
        <v>4.390616703278007</v>
      </c>
      <c r="I128" s="216">
        <f>(141)/I8</f>
        <v>2.3393559305161515</v>
      </c>
      <c r="J128" s="216">
        <f>(141)/J8</f>
        <v>2.4479166666666665</v>
      </c>
      <c r="K128" s="217">
        <f>J128*J8/K8</f>
        <v>2.4479166666666665</v>
      </c>
      <c r="L128" s="217">
        <f>K128*K8/L8</f>
        <v>2.3139074297551905</v>
      </c>
      <c r="M128" s="217">
        <f>L128*L8/M8</f>
        <v>2.2490331117118498</v>
      </c>
      <c r="N128" s="217">
        <f>M128*M8/N8</f>
        <v>2.1921463326725226</v>
      </c>
      <c r="O128" s="217">
        <f>N128*N8/O8</f>
        <v>2.1397026405033235</v>
      </c>
      <c r="P128" s="164"/>
      <c r="X128" s="343" t="s">
        <v>168</v>
      </c>
      <c r="Y128" s="224">
        <v>3874000000</v>
      </c>
      <c r="Z128" s="224">
        <v>3840000000</v>
      </c>
      <c r="AA128" s="224">
        <f>115000000*34.2</f>
        <v>3933000000.0000005</v>
      </c>
      <c r="AB128" s="224">
        <f>AB127*AB130*AB129</f>
        <v>16460178277.5</v>
      </c>
      <c r="AC128" s="151"/>
      <c r="AD128" s="151"/>
    </row>
    <row r="129" spans="1:30" ht="15.75" customHeight="1" outlineLevel="1">
      <c r="A129" s="225" t="s">
        <v>169</v>
      </c>
      <c r="B129" s="225"/>
      <c r="C129" s="215">
        <f>C122-C119-C125</f>
        <v>125.98657278532824</v>
      </c>
      <c r="D129" s="215">
        <f t="shared" ref="D129:J129" si="120">D122-D119-D125</f>
        <v>431.70504044803988</v>
      </c>
      <c r="E129" s="215">
        <f t="shared" si="120"/>
        <v>256.23623192130424</v>
      </c>
      <c r="F129" s="216">
        <f t="shared" si="120"/>
        <v>539.28769478960692</v>
      </c>
      <c r="G129" s="216">
        <f t="shared" si="120"/>
        <v>496.94265704433138</v>
      </c>
      <c r="H129" s="216">
        <f t="shared" si="120"/>
        <v>232.3185063121976</v>
      </c>
      <c r="I129" s="216">
        <f t="shared" si="120"/>
        <v>564.39865279644278</v>
      </c>
      <c r="J129" s="216">
        <f t="shared" si="120"/>
        <v>651.44097222222217</v>
      </c>
      <c r="K129" s="217">
        <f>K122-K119-K125</f>
        <v>871.94717990038339</v>
      </c>
      <c r="L129" s="217">
        <f t="shared" ref="L129:O129" si="121">L122-L119-L125</f>
        <v>836.7006837777094</v>
      </c>
      <c r="M129" s="217">
        <f t="shared" si="121"/>
        <v>738.33604714344665</v>
      </c>
      <c r="N129" s="217">
        <f t="shared" si="121"/>
        <v>468.30299261454968</v>
      </c>
      <c r="O129" s="217">
        <f t="shared" si="121"/>
        <v>234.07680817415098</v>
      </c>
      <c r="P129" s="164"/>
      <c r="X129" s="343" t="s">
        <v>170</v>
      </c>
      <c r="Y129" s="226">
        <v>9.5463400000000007</v>
      </c>
      <c r="Z129" s="226">
        <v>10.08797</v>
      </c>
      <c r="AA129" s="226">
        <v>11.482239999999999</v>
      </c>
      <c r="AB129" s="151">
        <v>13.5</v>
      </c>
      <c r="AC129" s="151"/>
      <c r="AD129" s="151"/>
    </row>
    <row r="130" spans="1:30" ht="15.75" customHeight="1" outlineLevel="1">
      <c r="A130" s="225" t="s">
        <v>171</v>
      </c>
      <c r="B130" s="225"/>
      <c r="C130" s="215">
        <f>45/C7</f>
        <v>1.482213438735178</v>
      </c>
      <c r="D130" s="215">
        <f>133/D7</f>
        <v>4.5238095238095237</v>
      </c>
      <c r="E130" s="215">
        <f>683/E7</f>
        <v>21.987573640665744</v>
      </c>
      <c r="F130" s="216">
        <f>652/F7</f>
        <v>20.461963344212904</v>
      </c>
      <c r="G130" s="216">
        <f>95/G7</f>
        <v>2.4592285788247477</v>
      </c>
      <c r="H130" s="216">
        <f>0/H7</f>
        <v>0</v>
      </c>
      <c r="I130" s="216">
        <f>270/I7</f>
        <v>4.030858460883878</v>
      </c>
      <c r="J130" s="216">
        <f>224/J7</f>
        <v>3.8541778685880197</v>
      </c>
      <c r="K130" s="217">
        <f t="shared" ref="K130:O130" si="122">J130</f>
        <v>3.8541778685880197</v>
      </c>
      <c r="L130" s="217">
        <f t="shared" si="122"/>
        <v>3.8541778685880197</v>
      </c>
      <c r="M130" s="217">
        <f t="shared" si="122"/>
        <v>3.8541778685880197</v>
      </c>
      <c r="N130" s="217">
        <f t="shared" si="122"/>
        <v>3.8541778685880197</v>
      </c>
      <c r="O130" s="217">
        <f t="shared" si="122"/>
        <v>3.8541778685880197</v>
      </c>
      <c r="P130" s="164" t="s">
        <v>172</v>
      </c>
      <c r="X130" s="342" t="s">
        <v>173</v>
      </c>
      <c r="Y130" s="227">
        <f>Y128/Y127/Y129</f>
        <v>45.939053047245984</v>
      </c>
      <c r="Z130" s="227">
        <f>Z128/Z127/Z129</f>
        <v>59.640477214521454</v>
      </c>
      <c r="AA130" s="227">
        <f>AA128/AA127/AA129</f>
        <v>74.050618209083282</v>
      </c>
      <c r="AB130" s="151">
        <v>61.45</v>
      </c>
      <c r="AC130" s="151"/>
      <c r="AD130" s="151"/>
    </row>
    <row r="131" spans="1:30" ht="15.75" customHeight="1" outlineLevel="1">
      <c r="A131" s="225" t="s">
        <v>174</v>
      </c>
      <c r="B131" s="225"/>
      <c r="C131" s="215">
        <f>(163-8)/C7</f>
        <v>5.1054018445322793</v>
      </c>
      <c r="D131" s="215">
        <f>(4839+4188)/D7</f>
        <v>307.0408163265306</v>
      </c>
      <c r="E131" s="215">
        <f>309/E7</f>
        <v>9.9475259955574167</v>
      </c>
      <c r="F131" s="216">
        <f>5392/F7</f>
        <v>169.21918152146623</v>
      </c>
      <c r="G131" s="216">
        <f>8088/G7</f>
        <v>209.37095521615325</v>
      </c>
      <c r="H131" s="216">
        <f>-31/H7</f>
        <v>-0.50610592307189972</v>
      </c>
      <c r="I131" s="216">
        <f>5389/I7</f>
        <v>80.452949058160058</v>
      </c>
      <c r="J131" s="216">
        <f>-7/J7</f>
        <v>-0.12044305839337562</v>
      </c>
      <c r="K131" s="217">
        <v>0</v>
      </c>
      <c r="L131" s="217">
        <v>0</v>
      </c>
      <c r="M131" s="217">
        <v>0</v>
      </c>
      <c r="N131" s="217">
        <v>0</v>
      </c>
      <c r="O131" s="217">
        <v>0</v>
      </c>
      <c r="P131" s="164" t="s">
        <v>202</v>
      </c>
      <c r="X131" s="344" t="s">
        <v>175</v>
      </c>
      <c r="Y131" s="228"/>
      <c r="Z131" s="229">
        <f>(Y130*Y127+Z130*Z127)/(Y127+Z127)</f>
        <v>51.686154468520101</v>
      </c>
      <c r="AA131" s="229">
        <f>(Y130*Y127+Z130*Z127+AA130*AA127)/(Y127+Z127+AA127)</f>
        <v>56.899880997251593</v>
      </c>
      <c r="AB131" s="151"/>
      <c r="AC131" s="151"/>
      <c r="AD131" s="151"/>
    </row>
    <row r="132" spans="1:30" ht="15.75" customHeight="1" outlineLevel="1">
      <c r="A132" s="225" t="s">
        <v>176</v>
      </c>
      <c r="B132" s="225"/>
      <c r="C132" s="215">
        <f>(-83-80+1931-2036-204)/C7</f>
        <v>-15.546772068511199</v>
      </c>
      <c r="D132" s="215">
        <f>(-566+283-67+4760-6028)/D7</f>
        <v>-55.034013605442176</v>
      </c>
      <c r="E132" s="215">
        <f>(-178-150-450+8292-7070-25)/E7</f>
        <v>13.488716479412806</v>
      </c>
      <c r="F132" s="215">
        <f>(-101-378+3766-6696+735+199)/F7</f>
        <v>-77.673863921667078</v>
      </c>
      <c r="G132" s="215">
        <f>(2051+161-291+12822-35146+4133+154-21)/G7</f>
        <v>-417.73233238415736</v>
      </c>
      <c r="H132" s="215">
        <f>(-3700+2241-298+37725-48952+2267-1117-77)/H7</f>
        <v>-194.45895644223862</v>
      </c>
      <c r="I132" s="215">
        <f>(-1803+1544+3268-253+18915-11066-3401)/I7</f>
        <v>107.54927537854613</v>
      </c>
      <c r="J132" s="215">
        <f>(-366+342+856-572-376)/J7</f>
        <v>-1.9959135390902245</v>
      </c>
      <c r="K132" s="217">
        <f>(-(K122*K8-J122*J8)-(-(K127+K128)*K8+(J127+J128)*J8)+(K131*K7-J126*J8))/K7</f>
        <v>-63.653267147004975</v>
      </c>
      <c r="L132" s="217">
        <f>(-(L122*L8-K122*K8)-(-(L127+L128)*L8+(K127+K128)*K8)+(L131*L7-K126*K8))/L7</f>
        <v>-42.549555354766014</v>
      </c>
      <c r="M132" s="217">
        <f>(-(M122*M8-L122*L8)-(-(M127+M128)*M8+(L127+L128)*L8)+(M131*M7-L126*L8))/M7</f>
        <v>-21.274191656096502</v>
      </c>
      <c r="N132" s="217">
        <f>(-(N122*N8-M122*M8)-(-(N127+N128)*N8+(M127+M128)*M8)+(N131*N7-M126*M8))/N7</f>
        <v>-18.945952366487596</v>
      </c>
      <c r="O132" s="217">
        <f>(-(O122*O8-N122*N8)-(-(O127+O128)*O8+(N127+N128)*N8)+(O131*O7-N126*N8))/O7</f>
        <v>-17.734421467191666</v>
      </c>
      <c r="P132" s="164" t="s">
        <v>199</v>
      </c>
      <c r="X132" s="172"/>
      <c r="Y132" s="151"/>
      <c r="Z132" s="151"/>
      <c r="AA132" s="151"/>
      <c r="AB132" s="151"/>
      <c r="AC132" s="151"/>
      <c r="AD132" s="151"/>
    </row>
    <row r="133" spans="1:30" s="140" customFormat="1" ht="15.75">
      <c r="A133" s="173" t="s">
        <v>3</v>
      </c>
      <c r="B133" s="173"/>
      <c r="C133" s="174">
        <f>-1905/C7</f>
        <v>-62.747035573122531</v>
      </c>
      <c r="D133" s="174">
        <f>-5196/D7</f>
        <v>-176.73469387755102</v>
      </c>
      <c r="E133" s="174">
        <f>-4098/E7</f>
        <v>-131.92544184399446</v>
      </c>
      <c r="F133" s="174">
        <f>-2909/F7</f>
        <v>-91.294250564900821</v>
      </c>
      <c r="G133" s="174">
        <f>-1569/G7</f>
        <v>-40.616101475537143</v>
      </c>
      <c r="H133" s="174">
        <f>-3854/H7</f>
        <v>-62.920394436100047</v>
      </c>
      <c r="I133" s="174">
        <f>-5962/I7</f>
        <v>-89.007326458480293</v>
      </c>
      <c r="J133" s="174">
        <f>-3500/J7</f>
        <v>-60.221529196687811</v>
      </c>
      <c r="K133" s="175">
        <f>-(K112+K117)*K134</f>
        <v>-47.478077487801194</v>
      </c>
      <c r="L133" s="175">
        <f t="shared" ref="L133:O133" si="123">-(L112+L117)*L134</f>
        <v>-78.808345150994384</v>
      </c>
      <c r="M133" s="175">
        <f t="shared" si="123"/>
        <v>-100.45117997250402</v>
      </c>
      <c r="N133" s="175">
        <f t="shared" si="123"/>
        <v>-128.13606881654428</v>
      </c>
      <c r="O133" s="175">
        <f t="shared" si="123"/>
        <v>-136.48126024692587</v>
      </c>
      <c r="P133" s="230"/>
      <c r="Q133" s="403">
        <f>-2105/Q$7</f>
        <v>-36.28684709532839</v>
      </c>
      <c r="R133" s="208">
        <f>Q133/J133</f>
        <v>0.60255605560617631</v>
      </c>
      <c r="X133" s="345"/>
      <c r="Y133" s="231"/>
      <c r="Z133" s="231"/>
      <c r="AA133" s="231"/>
      <c r="AB133" s="231">
        <f>AB127*AB130/4.17/1000000</f>
        <v>292.39147841726617</v>
      </c>
      <c r="AC133" s="231"/>
      <c r="AD133" s="231"/>
    </row>
    <row r="134" spans="1:30" ht="15.75">
      <c r="A134" s="176" t="s">
        <v>177</v>
      </c>
      <c r="B134" s="176"/>
      <c r="C134" s="212">
        <f t="shared" ref="C134:E134" si="124">-C133/(C112+C117)</f>
        <v>0.23277126099706744</v>
      </c>
      <c r="D134" s="212">
        <f t="shared" si="124"/>
        <v>0.20357310766337566</v>
      </c>
      <c r="E134" s="212">
        <f t="shared" si="124"/>
        <v>0.24574238426481157</v>
      </c>
      <c r="F134" s="212">
        <f>-F133/(F112+F117)</f>
        <v>0.21301991798476858</v>
      </c>
      <c r="G134" s="212">
        <f>-G133/(G112+G117)</f>
        <v>0.23950541901999725</v>
      </c>
      <c r="H134" s="212">
        <f>-H133/(H112+H117)</f>
        <v>0.19548567080902868</v>
      </c>
      <c r="I134" s="212">
        <f>-I133/(I112+I117)</f>
        <v>0.18683212685280939</v>
      </c>
      <c r="J134" s="212">
        <f>-J133/(J112+J117)</f>
        <v>0.19707207207207214</v>
      </c>
      <c r="K134" s="232">
        <v>0.2</v>
      </c>
      <c r="L134" s="232">
        <f t="shared" ref="L134:O134" si="125">K134</f>
        <v>0.2</v>
      </c>
      <c r="M134" s="232">
        <f t="shared" si="125"/>
        <v>0.2</v>
      </c>
      <c r="N134" s="232">
        <f t="shared" si="125"/>
        <v>0.2</v>
      </c>
      <c r="O134" s="232">
        <f t="shared" si="125"/>
        <v>0.2</v>
      </c>
      <c r="P134" s="164"/>
      <c r="X134" s="172"/>
      <c r="Y134" s="151"/>
      <c r="Z134" s="151"/>
      <c r="AA134" s="151"/>
      <c r="AB134" s="151"/>
      <c r="AC134" s="151"/>
      <c r="AD134" s="151"/>
    </row>
    <row r="135" spans="1:30" ht="15.75">
      <c r="A135" s="173" t="s">
        <v>209</v>
      </c>
      <c r="B135" s="173"/>
      <c r="C135" s="174"/>
      <c r="D135" s="174">
        <f>-4028/D7</f>
        <v>-137.00680272108843</v>
      </c>
      <c r="E135" s="174">
        <f>-2605/E7</f>
        <v>-83.861829185848123</v>
      </c>
      <c r="F135" s="174">
        <f>-2605/F7</f>
        <v>-81.753703238764743</v>
      </c>
      <c r="G135" s="174">
        <f>-2010/G7</f>
        <v>-52.032099404607813</v>
      </c>
      <c r="H135" s="174">
        <f>-2478/H7</f>
        <v>-40.455821850715076</v>
      </c>
      <c r="I135" s="174">
        <f>-3929/I7</f>
        <v>-58.656455158565763</v>
      </c>
      <c r="J135" s="174">
        <f>-2743/J7</f>
        <v>-47.196472739004193</v>
      </c>
      <c r="K135" s="175">
        <f t="shared" ref="K135:O135" si="126">-(K112+K117)*K136</f>
        <v>-37.982461990240957</v>
      </c>
      <c r="L135" s="175">
        <f t="shared" si="126"/>
        <v>-63.046676120795503</v>
      </c>
      <c r="M135" s="175">
        <f t="shared" si="126"/>
        <v>-80.36094397800322</v>
      </c>
      <c r="N135" s="175">
        <f t="shared" si="126"/>
        <v>-102.50885505323542</v>
      </c>
      <c r="O135" s="175">
        <f t="shared" si="126"/>
        <v>-109.1850081975407</v>
      </c>
      <c r="P135" s="164"/>
      <c r="Q135" s="403">
        <f>-1958/Q$7</f>
        <v>-33.752801241165315</v>
      </c>
      <c r="R135" s="208">
        <f>Q135/J135</f>
        <v>0.71515516483229191</v>
      </c>
      <c r="X135" s="172"/>
      <c r="Y135" s="151"/>
      <c r="Z135" s="151"/>
      <c r="AA135" s="151"/>
      <c r="AB135" s="151">
        <v>19841700</v>
      </c>
      <c r="AC135" s="151"/>
      <c r="AD135" s="151"/>
    </row>
    <row r="136" spans="1:30" ht="15.75">
      <c r="A136" s="176" t="s">
        <v>210</v>
      </c>
      <c r="B136" s="176"/>
      <c r="C136" s="220"/>
      <c r="D136" s="220">
        <f t="shared" ref="D136:J136" si="127">-D135/(D112+D117)</f>
        <v>0.15781225513242439</v>
      </c>
      <c r="E136" s="220">
        <f t="shared" si="127"/>
        <v>0.15621252098824651</v>
      </c>
      <c r="F136" s="220">
        <f t="shared" si="127"/>
        <v>0.19075864089045105</v>
      </c>
      <c r="G136" s="220">
        <f t="shared" si="127"/>
        <v>0.30682338574263512</v>
      </c>
      <c r="H136" s="220">
        <f t="shared" si="127"/>
        <v>0.12569109814861781</v>
      </c>
      <c r="I136" s="220">
        <f t="shared" si="127"/>
        <v>0.12312368775657298</v>
      </c>
      <c r="J136" s="220">
        <f t="shared" si="127"/>
        <v>0.15444819819819827</v>
      </c>
      <c r="K136" s="232">
        <v>0.16</v>
      </c>
      <c r="L136" s="232">
        <f t="shared" ref="L136:O136" si="128">K136</f>
        <v>0.16</v>
      </c>
      <c r="M136" s="232">
        <f t="shared" si="128"/>
        <v>0.16</v>
      </c>
      <c r="N136" s="232">
        <f t="shared" si="128"/>
        <v>0.16</v>
      </c>
      <c r="O136" s="232">
        <f t="shared" si="128"/>
        <v>0.16</v>
      </c>
      <c r="P136" s="164"/>
      <c r="X136" s="172"/>
      <c r="Y136" s="151"/>
      <c r="Z136" s="151"/>
      <c r="AA136" s="151"/>
      <c r="AB136" s="151"/>
      <c r="AC136" s="151"/>
      <c r="AD136" s="151"/>
    </row>
    <row r="137" spans="1:30" ht="15.75">
      <c r="A137" s="173" t="s">
        <v>178</v>
      </c>
      <c r="B137" s="173"/>
      <c r="C137" s="174">
        <f>C112+C117+C133</f>
        <v>206.81818181818184</v>
      </c>
      <c r="D137" s="174">
        <f>D112+D117+D133</f>
        <v>691.42857142857133</v>
      </c>
      <c r="E137" s="174">
        <f t="shared" ref="E137:O137" si="129">E112+E117+E133</f>
        <v>404.91903550848303</v>
      </c>
      <c r="F137" s="174">
        <f>F112+F117+F133</f>
        <v>337.27717800652778</v>
      </c>
      <c r="G137" s="174">
        <f>G112+G117+G133</f>
        <v>128.96712399689338</v>
      </c>
      <c r="H137" s="174">
        <f>H112+H117+H133</f>
        <v>258.94664664010969</v>
      </c>
      <c r="I137" s="174">
        <f>I112+I117+I133</f>
        <v>387.39535630176198</v>
      </c>
      <c r="J137" s="174">
        <f>J112+J117+J133</f>
        <v>245.35971609850509</v>
      </c>
      <c r="K137" s="175">
        <f t="shared" si="129"/>
        <v>189.91230995120478</v>
      </c>
      <c r="L137" s="175">
        <f t="shared" si="129"/>
        <v>315.23338060397748</v>
      </c>
      <c r="M137" s="175">
        <f t="shared" si="129"/>
        <v>401.80471989001609</v>
      </c>
      <c r="N137" s="175">
        <f t="shared" si="129"/>
        <v>512.54427526617712</v>
      </c>
      <c r="O137" s="175">
        <f t="shared" si="129"/>
        <v>545.92504098770348</v>
      </c>
      <c r="P137" s="164"/>
      <c r="X137" s="172"/>
      <c r="Y137" s="151"/>
      <c r="Z137" s="151"/>
      <c r="AA137" s="151"/>
      <c r="AB137" s="151"/>
      <c r="AC137" s="151"/>
      <c r="AD137" s="151"/>
    </row>
    <row r="138" spans="1:30" ht="15.75">
      <c r="A138" s="173" t="s">
        <v>179</v>
      </c>
      <c r="B138" s="173"/>
      <c r="C138" s="174">
        <f t="shared" ref="C138:F138" si="130">C137-C133+C135-C131-C111-C132</f>
        <v>287.94466403162062</v>
      </c>
      <c r="D138" s="174">
        <f t="shared" si="130"/>
        <v>490.61224489795916</v>
      </c>
      <c r="E138" s="174">
        <f t="shared" si="130"/>
        <v>426.52029746000085</v>
      </c>
      <c r="F138" s="174">
        <f t="shared" si="130"/>
        <v>262.08260105448164</v>
      </c>
      <c r="G138" s="174">
        <f>G137-G133+G135-G131-G111-G132</f>
        <v>339.45120372767252</v>
      </c>
      <c r="H138" s="174">
        <f>H137-H133+H135-H131-H111-H132</f>
        <v>483.51074250636708</v>
      </c>
      <c r="I138" s="174">
        <f>I137-I133+I135-I131-I111-I132</f>
        <v>231.32648833850251</v>
      </c>
      <c r="J138" s="174">
        <f>J137-J133+J135-J131-J111-J132</f>
        <v>261.2065813528335</v>
      </c>
      <c r="K138" s="175">
        <f t="shared" ref="K138:O138" si="131">K137-K133+K135-K111-K132</f>
        <v>263.06119259576997</v>
      </c>
      <c r="L138" s="175">
        <f t="shared" si="131"/>
        <v>373.54460498894241</v>
      </c>
      <c r="M138" s="175">
        <f t="shared" si="131"/>
        <v>443.16914754061338</v>
      </c>
      <c r="N138" s="175">
        <f t="shared" si="131"/>
        <v>557.11744139597363</v>
      </c>
      <c r="O138" s="175">
        <f t="shared" si="131"/>
        <v>590.95571450428031</v>
      </c>
      <c r="P138" s="164"/>
      <c r="Q138" s="403">
        <v>174</v>
      </c>
      <c r="R138" s="208">
        <f>Q138/J138</f>
        <v>0.66613941769316942</v>
      </c>
      <c r="X138" s="172"/>
      <c r="Y138" s="151"/>
      <c r="Z138" s="151"/>
      <c r="AA138" s="151"/>
      <c r="AB138" s="151"/>
      <c r="AC138" s="151"/>
      <c r="AD138" s="151"/>
    </row>
    <row r="139" spans="1:30" ht="15.75">
      <c r="A139" s="233" t="s">
        <v>23</v>
      </c>
      <c r="B139" s="233"/>
      <c r="C139" s="234">
        <f>-695/C7</f>
        <v>-22.891963109354414</v>
      </c>
      <c r="D139" s="234">
        <f>-1999/D7</f>
        <v>-67.993197278911566</v>
      </c>
      <c r="E139" s="234">
        <f>-666/E7</f>
        <v>-21.440298747706276</v>
      </c>
      <c r="F139" s="234">
        <f>-794/F7</f>
        <v>-24.918403213658046</v>
      </c>
      <c r="G139" s="234">
        <f>-2523/G7</f>
        <v>-65.311933730261444</v>
      </c>
      <c r="H139" s="234">
        <f>-1967/H7</f>
        <v>-32.113237118787957</v>
      </c>
      <c r="I139" s="234">
        <f>630/I7</f>
        <v>9.405336408729049</v>
      </c>
      <c r="J139" s="234">
        <f>-828/J7</f>
        <v>-14.24669319281643</v>
      </c>
      <c r="K139" s="235">
        <f t="shared" ref="K139:O139" si="132">-K137*K140</f>
        <v>-11.027166384263507</v>
      </c>
      <c r="L139" s="235">
        <f t="shared" si="132"/>
        <v>-18.303873712489022</v>
      </c>
      <c r="M139" s="235">
        <f t="shared" si="132"/>
        <v>-23.330596638775138</v>
      </c>
      <c r="N139" s="235">
        <f t="shared" si="132"/>
        <v>-29.760635338036103</v>
      </c>
      <c r="O139" s="235">
        <f t="shared" si="132"/>
        <v>-31.698873347673118</v>
      </c>
      <c r="P139" s="164"/>
      <c r="Q139" s="403">
        <f>-525/Q$7</f>
        <v>-9.0501637648681257</v>
      </c>
      <c r="R139" s="208">
        <f>Q139/J139</f>
        <v>0.63524662476984228</v>
      </c>
      <c r="X139" s="172"/>
      <c r="Y139" s="151"/>
      <c r="Z139" s="151"/>
      <c r="AA139" s="151"/>
      <c r="AB139" s="151"/>
      <c r="AC139" s="151"/>
      <c r="AD139" s="151"/>
    </row>
    <row r="140" spans="1:30" s="2" customFormat="1" ht="15.75">
      <c r="A140" s="236" t="s">
        <v>180</v>
      </c>
      <c r="B140" s="236"/>
      <c r="C140" s="212">
        <f>-C139/C137</f>
        <v>0.11068641503424111</v>
      </c>
      <c r="D140" s="212">
        <f t="shared" ref="D140:G140" si="133">-D139/D137</f>
        <v>9.8337268791814259E-2</v>
      </c>
      <c r="E140" s="212">
        <f t="shared" si="133"/>
        <v>5.2949594530131948E-2</v>
      </c>
      <c r="F140" s="212">
        <f t="shared" si="133"/>
        <v>7.3881083092956157E-2</v>
      </c>
      <c r="G140" s="212">
        <f t="shared" si="133"/>
        <v>0.506423123243678</v>
      </c>
      <c r="H140" s="212">
        <f>-H139/H137</f>
        <v>0.12401487926360255</v>
      </c>
      <c r="I140" s="212">
        <f>-I139/I137</f>
        <v>-2.4278392230914492E-2</v>
      </c>
      <c r="J140" s="212">
        <f>-J139/J137</f>
        <v>5.8064516129032281E-2</v>
      </c>
      <c r="K140" s="213">
        <f>J140</f>
        <v>5.8064516129032281E-2</v>
      </c>
      <c r="L140" s="213">
        <f t="shared" ref="L140:O140" si="134">K140</f>
        <v>5.8064516129032281E-2</v>
      </c>
      <c r="M140" s="213">
        <f t="shared" si="134"/>
        <v>5.8064516129032281E-2</v>
      </c>
      <c r="N140" s="213">
        <f t="shared" si="134"/>
        <v>5.8064516129032281E-2</v>
      </c>
      <c r="O140" s="213">
        <f t="shared" si="134"/>
        <v>5.8064516129032281E-2</v>
      </c>
      <c r="P140" s="237"/>
      <c r="X140" s="346"/>
      <c r="Y140" s="238"/>
      <c r="Z140" s="238"/>
      <c r="AA140" s="238"/>
      <c r="AB140" s="238"/>
      <c r="AC140" s="238"/>
      <c r="AD140" s="238"/>
    </row>
    <row r="141" spans="1:30" ht="15.75">
      <c r="A141" s="239" t="s">
        <v>2</v>
      </c>
      <c r="B141" s="239"/>
      <c r="C141" s="240">
        <f>1491/C7</f>
        <v>49.110671936758891</v>
      </c>
      <c r="D141" s="240">
        <f>1917/D7</f>
        <v>65.204081632653057</v>
      </c>
      <c r="E141" s="240">
        <f>1970/E7</f>
        <v>63.419502301773818</v>
      </c>
      <c r="F141" s="240">
        <f>2566/F7</f>
        <v>80.529751443635448</v>
      </c>
      <c r="G141" s="240">
        <f>3871/G7</f>
        <v>100.20709293295366</v>
      </c>
      <c r="H141" s="240">
        <f>4594/H7</f>
        <v>75.001632599751844</v>
      </c>
      <c r="I141" s="240">
        <f>6095/I7</f>
        <v>90.992897478100872</v>
      </c>
      <c r="J141" s="240">
        <f>7957/J7</f>
        <v>136.90934509086998</v>
      </c>
      <c r="K141" s="241">
        <f>J142*K143</f>
        <v>137.21875</v>
      </c>
      <c r="L141" s="241">
        <f t="shared" ref="L141:O141" si="135">K142*L143</f>
        <v>153.81721527099609</v>
      </c>
      <c r="M141" s="241">
        <f t="shared" si="135"/>
        <v>159.42057810016038</v>
      </c>
      <c r="N141" s="241">
        <f t="shared" si="135"/>
        <v>163.34793424870625</v>
      </c>
      <c r="O141" s="241">
        <f t="shared" si="135"/>
        <v>151.62791084451973</v>
      </c>
      <c r="P141" s="164"/>
      <c r="Q141" s="403">
        <f>-Q110</f>
        <v>106.03344250991209</v>
      </c>
      <c r="R141" s="208">
        <f>Q141/J141</f>
        <v>0.77447921790536056</v>
      </c>
      <c r="X141" s="172"/>
      <c r="Y141" s="151"/>
      <c r="Z141" s="151"/>
      <c r="AA141" s="151"/>
      <c r="AB141" s="151"/>
      <c r="AC141" s="151"/>
      <c r="AD141" s="151"/>
    </row>
    <row r="142" spans="1:30" ht="15.75">
      <c r="A142" s="242" t="s">
        <v>181</v>
      </c>
      <c r="B142" s="242"/>
      <c r="C142" s="240">
        <f>24091/C8</f>
        <v>788.96348452595385</v>
      </c>
      <c r="D142" s="240">
        <f>33472/D8</f>
        <v>1041.4436838830118</v>
      </c>
      <c r="E142" s="240">
        <f>47866/E8</f>
        <v>1576.1986301369864</v>
      </c>
      <c r="F142" s="240">
        <f>61068/F8</f>
        <v>1857.8643139641013</v>
      </c>
      <c r="G142" s="240">
        <f>cover!K75</f>
        <v>1289.6299193003661</v>
      </c>
      <c r="H142" s="240">
        <f>cover!L75</f>
        <v>1161.8669451049427</v>
      </c>
      <c r="I142" s="240">
        <f>cover!M75</f>
        <v>1396.5291258108937</v>
      </c>
      <c r="J142" s="240">
        <f>cover!N75</f>
        <v>1524.6527777777778</v>
      </c>
      <c r="K142" s="241">
        <f>(J142*J8-K141*K7-K144*K7)/K8</f>
        <v>1709.0801696777344</v>
      </c>
      <c r="L142" s="241">
        <f>(K142*K8-L141*L7-L144*L7)/L8</f>
        <v>1771.3397566684489</v>
      </c>
      <c r="M142" s="241">
        <f>(L142*L8-M141*M7-M144*M7)/M8</f>
        <v>1814.9770472078474</v>
      </c>
      <c r="N142" s="241">
        <f>(M142*M8-N141*N7-N144*N7)/N8</f>
        <v>1684.7545649391081</v>
      </c>
      <c r="O142" s="241">
        <f>(N142*N8-O141*O7-O144*O7)/O8</f>
        <v>1546.0276700037753</v>
      </c>
      <c r="P142" s="164"/>
      <c r="X142" s="172"/>
      <c r="Y142" s="151"/>
      <c r="Z142" s="151"/>
      <c r="AA142" s="151"/>
      <c r="AB142" s="151"/>
      <c r="AC142" s="151"/>
      <c r="AD142" s="151"/>
    </row>
    <row r="143" spans="1:30" ht="15.75">
      <c r="A143" s="176" t="s">
        <v>182</v>
      </c>
      <c r="B143" s="176"/>
      <c r="C143" s="220">
        <f>C141/C142</f>
        <v>6.2247078476980314E-2</v>
      </c>
      <c r="D143" s="220">
        <f t="shared" ref="D143:J143" si="136">D141/C142</f>
        <v>8.2645246467687561E-2</v>
      </c>
      <c r="E143" s="220">
        <f t="shared" si="136"/>
        <v>6.0895757767059348E-2</v>
      </c>
      <c r="F143" s="220">
        <f t="shared" si="136"/>
        <v>5.1091118786619337E-2</v>
      </c>
      <c r="G143" s="220">
        <f t="shared" si="136"/>
        <v>5.3936712266754866E-2</v>
      </c>
      <c r="H143" s="220">
        <f t="shared" si="136"/>
        <v>5.8157484932143011E-2</v>
      </c>
      <c r="I143" s="220">
        <f t="shared" si="136"/>
        <v>7.8316108278544891E-2</v>
      </c>
      <c r="J143" s="220">
        <f t="shared" si="136"/>
        <v>9.8035438402599484E-2</v>
      </c>
      <c r="K143" s="232">
        <v>0.09</v>
      </c>
      <c r="L143" s="232">
        <f t="shared" ref="L143:O143" si="137">K143</f>
        <v>0.09</v>
      </c>
      <c r="M143" s="232">
        <f t="shared" si="137"/>
        <v>0.09</v>
      </c>
      <c r="N143" s="232">
        <f t="shared" si="137"/>
        <v>0.09</v>
      </c>
      <c r="O143" s="232">
        <f t="shared" si="137"/>
        <v>0.09</v>
      </c>
      <c r="P143" s="164"/>
      <c r="X143" s="172"/>
      <c r="Y143" s="151"/>
      <c r="Z143" s="151"/>
      <c r="AA143" s="151"/>
      <c r="AB143" s="151"/>
      <c r="AC143" s="151"/>
      <c r="AD143" s="151"/>
    </row>
    <row r="144" spans="1:30" ht="15.75">
      <c r="A144" s="173" t="s">
        <v>9</v>
      </c>
      <c r="B144" s="173"/>
      <c r="C144" s="243">
        <f>-5449/C7</f>
        <v>-179.47957839262187</v>
      </c>
      <c r="D144" s="243">
        <f>-10844/D7</f>
        <v>-368.84353741496602</v>
      </c>
      <c r="E144" s="243">
        <f>-16122/E7</f>
        <v>-519.00975437015097</v>
      </c>
      <c r="F144" s="243">
        <f>-14443/F7</f>
        <v>-453.27014812955059</v>
      </c>
      <c r="G144" s="243">
        <f>-11478/G7</f>
        <v>-297.12658555526792</v>
      </c>
      <c r="H144" s="243">
        <f>-15107/H7</f>
        <v>-246.63684451119963</v>
      </c>
      <c r="I144" s="243">
        <f>-12128/I7</f>
        <v>-181.06019042073953</v>
      </c>
      <c r="J144" s="243">
        <f>-11299/J7</f>
        <v>-194.4123023981073</v>
      </c>
      <c r="K144" s="175">
        <f>K146+K155</f>
        <v>-320</v>
      </c>
      <c r="L144" s="175">
        <f t="shared" ref="L144:O144" si="138">L146+L155</f>
        <v>-312</v>
      </c>
      <c r="M144" s="175">
        <f t="shared" si="138"/>
        <v>-254</v>
      </c>
      <c r="N144" s="175">
        <f t="shared" si="138"/>
        <v>-78</v>
      </c>
      <c r="O144" s="175">
        <f t="shared" si="138"/>
        <v>-52</v>
      </c>
      <c r="P144" s="164"/>
      <c r="Q144" s="403">
        <f>-8181/Q$7</f>
        <v>-141.02740906740217</v>
      </c>
      <c r="R144" s="208">
        <f>Q144/J144</f>
        <v>0.72540372871369863</v>
      </c>
      <c r="X144" s="172"/>
      <c r="Y144" s="151"/>
      <c r="Z144" s="151"/>
      <c r="AA144" s="151"/>
      <c r="AB144" s="151"/>
      <c r="AC144" s="151"/>
      <c r="AD144" s="151"/>
    </row>
    <row r="145" spans="1:30" ht="15.75">
      <c r="A145" s="202" t="s">
        <v>183</v>
      </c>
      <c r="B145" s="202"/>
      <c r="C145" s="220">
        <f t="shared" ref="C145:O145" si="139">C144/C9</f>
        <v>-0.12246595046523126</v>
      </c>
      <c r="D145" s="220">
        <f t="shared" si="139"/>
        <v>-0.17171269318469726</v>
      </c>
      <c r="E145" s="220">
        <f t="shared" si="139"/>
        <v>-0.23294658209192443</v>
      </c>
      <c r="F145" s="220">
        <f t="shared" si="139"/>
        <v>-0.21903577548946754</v>
      </c>
      <c r="G145" s="220">
        <f t="shared" si="139"/>
        <v>-0.16058087803240159</v>
      </c>
      <c r="H145" s="220">
        <f t="shared" si="139"/>
        <v>-0.14861342016467788</v>
      </c>
      <c r="I145" s="220">
        <f>I144/I9</f>
        <v>-0.14174185405076903</v>
      </c>
      <c r="J145" s="220">
        <f>J144/J9</f>
        <v>-0.12548588436507407</v>
      </c>
      <c r="K145" s="246">
        <f t="shared" si="139"/>
        <v>-0.20774555555328234</v>
      </c>
      <c r="L145" s="246">
        <f t="shared" si="139"/>
        <v>-0.1825499296657104</v>
      </c>
      <c r="M145" s="246">
        <f t="shared" si="139"/>
        <v>-0.13548450932377204</v>
      </c>
      <c r="N145" s="246">
        <f t="shared" si="139"/>
        <v>-3.696589664292782E-2</v>
      </c>
      <c r="O145" s="246">
        <f t="shared" si="139"/>
        <v>-2.4284469964142311E-2</v>
      </c>
      <c r="P145" s="164"/>
      <c r="X145" s="172"/>
      <c r="Y145" s="151"/>
      <c r="Z145" s="151"/>
      <c r="AA145" s="151"/>
      <c r="AB145" s="151"/>
      <c r="AC145" s="151"/>
      <c r="AD145" s="151"/>
    </row>
    <row r="146" spans="1:30" s="2" customFormat="1" ht="15.75" customHeight="1" outlineLevel="1">
      <c r="A146" s="214" t="s">
        <v>184</v>
      </c>
      <c r="B146" s="214"/>
      <c r="C146" s="215">
        <f>C144-C155</f>
        <v>-130.368906455863</v>
      </c>
      <c r="D146" s="215">
        <f>D144-D155</f>
        <v>-303.63945578231295</v>
      </c>
      <c r="E146" s="215">
        <f>E144-E155</f>
        <v>-455.59025206837714</v>
      </c>
      <c r="F146" s="215">
        <f>F144-F155</f>
        <v>-372.74039668591513</v>
      </c>
      <c r="G146" s="215">
        <f>G147+G148+G149</f>
        <v>-230.70152731038047</v>
      </c>
      <c r="H146" s="215">
        <f>H147+H148+H149</f>
        <v>-205.2845947887416</v>
      </c>
      <c r="I146" s="215">
        <f>SUM(I147:I154)</f>
        <v>-121</v>
      </c>
      <c r="J146" s="217">
        <f t="shared" ref="J146:O146" si="140">SUM(J147:J154)</f>
        <v>-150</v>
      </c>
      <c r="K146" s="217">
        <f t="shared" si="140"/>
        <v>-268</v>
      </c>
      <c r="L146" s="217">
        <f t="shared" si="140"/>
        <v>-260</v>
      </c>
      <c r="M146" s="217">
        <f t="shared" si="140"/>
        <v>-202</v>
      </c>
      <c r="N146" s="217">
        <f t="shared" si="140"/>
        <v>-26</v>
      </c>
      <c r="O146" s="217">
        <f t="shared" si="140"/>
        <v>0</v>
      </c>
      <c r="P146" s="237"/>
      <c r="X146" s="346"/>
      <c r="Y146" s="238"/>
      <c r="Z146" s="238"/>
      <c r="AA146" s="238"/>
      <c r="AB146" s="238"/>
      <c r="AC146" s="238"/>
      <c r="AD146" s="238"/>
    </row>
    <row r="147" spans="1:30" s="2" customFormat="1" ht="15.75" customHeight="1" outlineLevel="1">
      <c r="A147" s="222" t="s">
        <v>185</v>
      </c>
      <c r="B147" s="222"/>
      <c r="C147" s="215"/>
      <c r="D147" s="215"/>
      <c r="E147" s="215"/>
      <c r="F147" s="215"/>
      <c r="G147" s="215">
        <f>-149.935283458452-11.7525239451203</f>
        <v>-161.68780740357229</v>
      </c>
      <c r="H147" s="215">
        <v>-156</v>
      </c>
      <c r="I147" s="215">
        <v>-71</v>
      </c>
      <c r="J147" s="399">
        <v>0</v>
      </c>
      <c r="K147" s="399">
        <v>0</v>
      </c>
      <c r="L147" s="399">
        <v>0</v>
      </c>
      <c r="M147" s="399">
        <v>-20</v>
      </c>
      <c r="N147" s="399">
        <v>0</v>
      </c>
      <c r="O147" s="399">
        <v>0</v>
      </c>
      <c r="P147" s="237"/>
      <c r="X147" s="346"/>
      <c r="Y147" s="238"/>
      <c r="Z147" s="238"/>
      <c r="AA147" s="238"/>
      <c r="AB147" s="238"/>
      <c r="AC147" s="238"/>
      <c r="AD147" s="238"/>
    </row>
    <row r="148" spans="1:30" s="2" customFormat="1" ht="15.75" customHeight="1" outlineLevel="1">
      <c r="A148" s="222" t="s">
        <v>186</v>
      </c>
      <c r="B148" s="222"/>
      <c r="C148" s="215"/>
      <c r="D148" s="215"/>
      <c r="E148" s="215"/>
      <c r="F148" s="215"/>
      <c r="G148" s="215">
        <v>-69.013719906808177</v>
      </c>
      <c r="H148" s="215">
        <f>-2100/H7</f>
        <v>-34.284594788741593</v>
      </c>
      <c r="I148" s="215">
        <v>-41</v>
      </c>
      <c r="J148" s="400">
        <f>-33-45</f>
        <v>-78</v>
      </c>
      <c r="K148" s="401">
        <f>-31-20</f>
        <v>-51</v>
      </c>
      <c r="L148" s="402">
        <v>-36</v>
      </c>
      <c r="M148" s="402">
        <v>-28</v>
      </c>
      <c r="N148" s="402">
        <v>-17</v>
      </c>
      <c r="O148" s="402">
        <v>0</v>
      </c>
      <c r="P148" s="237"/>
      <c r="X148" s="346"/>
      <c r="Y148" s="238"/>
      <c r="Z148" s="238"/>
      <c r="AA148" s="238"/>
      <c r="AB148" s="238"/>
      <c r="AC148" s="238"/>
      <c r="AD148" s="238"/>
    </row>
    <row r="149" spans="1:30" s="2" customFormat="1" ht="15.75" customHeight="1" outlineLevel="1">
      <c r="A149" s="222" t="s">
        <v>217</v>
      </c>
      <c r="B149" s="222"/>
      <c r="C149" s="215"/>
      <c r="D149" s="215"/>
      <c r="E149" s="215"/>
      <c r="F149" s="215"/>
      <c r="G149" s="215">
        <v>0</v>
      </c>
      <c r="H149" s="215">
        <v>-15</v>
      </c>
      <c r="I149" s="215">
        <v>-9</v>
      </c>
      <c r="J149" s="402">
        <v>-9</v>
      </c>
      <c r="K149" s="402">
        <v>-9</v>
      </c>
      <c r="L149" s="402">
        <v>-9</v>
      </c>
      <c r="M149" s="402">
        <v>-9</v>
      </c>
      <c r="N149" s="402">
        <v>-9</v>
      </c>
      <c r="O149" s="402">
        <v>0</v>
      </c>
      <c r="P149" s="237"/>
      <c r="X149" s="346"/>
      <c r="Y149" s="238"/>
      <c r="Z149" s="238"/>
      <c r="AA149" s="238"/>
      <c r="AB149" s="238"/>
      <c r="AC149" s="238"/>
      <c r="AD149" s="238"/>
    </row>
    <row r="150" spans="1:30" s="2" customFormat="1" ht="15.75" customHeight="1" outlineLevel="1">
      <c r="A150" s="222" t="s">
        <v>323</v>
      </c>
      <c r="B150" s="222"/>
      <c r="C150" s="215"/>
      <c r="D150" s="215"/>
      <c r="E150" s="215"/>
      <c r="F150" s="215"/>
      <c r="G150" s="215"/>
      <c r="H150" s="215"/>
      <c r="I150" s="215"/>
      <c r="J150" s="402">
        <v>-13</v>
      </c>
      <c r="K150" s="402">
        <v>-13</v>
      </c>
      <c r="L150" s="402">
        <v>0</v>
      </c>
      <c r="M150" s="402">
        <v>0</v>
      </c>
      <c r="N150" s="402">
        <v>0</v>
      </c>
      <c r="O150" s="402">
        <v>0</v>
      </c>
      <c r="P150" s="237"/>
      <c r="X150" s="346"/>
      <c r="Y150" s="238"/>
      <c r="Z150" s="238"/>
      <c r="AA150" s="238"/>
      <c r="AB150" s="238"/>
      <c r="AC150" s="238"/>
      <c r="AD150" s="238"/>
    </row>
    <row r="151" spans="1:30" s="2" customFormat="1" ht="15.75" customHeight="1" outlineLevel="1">
      <c r="A151" s="222" t="s">
        <v>281</v>
      </c>
      <c r="B151" s="222"/>
      <c r="C151" s="215"/>
      <c r="D151" s="215"/>
      <c r="E151" s="215"/>
      <c r="F151" s="215"/>
      <c r="G151" s="215"/>
      <c r="H151" s="215"/>
      <c r="I151" s="215"/>
      <c r="J151" s="402">
        <v>-25</v>
      </c>
      <c r="K151" s="402">
        <v>-50</v>
      </c>
      <c r="L151" s="402">
        <v>-25</v>
      </c>
      <c r="M151" s="402">
        <v>0</v>
      </c>
      <c r="N151" s="402">
        <v>0</v>
      </c>
      <c r="O151" s="402">
        <v>0</v>
      </c>
      <c r="P151" s="237"/>
      <c r="X151" s="346"/>
      <c r="Y151" s="238"/>
      <c r="Z151" s="238"/>
      <c r="AA151" s="238"/>
      <c r="AB151" s="238"/>
      <c r="AC151" s="238"/>
      <c r="AD151" s="238"/>
    </row>
    <row r="152" spans="1:30" s="2" customFormat="1" ht="15.75" customHeight="1" outlineLevel="1">
      <c r="A152" s="222" t="s">
        <v>282</v>
      </c>
      <c r="B152" s="222"/>
      <c r="C152" s="215"/>
      <c r="D152" s="215"/>
      <c r="E152" s="215"/>
      <c r="F152" s="215"/>
      <c r="G152" s="215"/>
      <c r="H152" s="215"/>
      <c r="I152" s="215"/>
      <c r="J152" s="402">
        <v>-15</v>
      </c>
      <c r="K152" s="402">
        <v>-90</v>
      </c>
      <c r="L152" s="402">
        <v>-110</v>
      </c>
      <c r="M152" s="402">
        <v>-115</v>
      </c>
      <c r="N152" s="402">
        <v>0</v>
      </c>
      <c r="O152" s="402">
        <v>0</v>
      </c>
      <c r="P152" s="237"/>
      <c r="X152" s="346"/>
      <c r="Y152" s="238"/>
      <c r="Z152" s="238"/>
      <c r="AA152" s="238"/>
      <c r="AB152" s="238"/>
      <c r="AC152" s="238"/>
      <c r="AD152" s="238"/>
    </row>
    <row r="153" spans="1:30" s="2" customFormat="1" ht="15.75" customHeight="1" outlineLevel="1">
      <c r="A153" s="222" t="s">
        <v>283</v>
      </c>
      <c r="B153" s="222"/>
      <c r="C153" s="215"/>
      <c r="D153" s="215"/>
      <c r="E153" s="215"/>
      <c r="F153" s="215"/>
      <c r="G153" s="215"/>
      <c r="H153" s="215"/>
      <c r="I153" s="215"/>
      <c r="J153" s="402">
        <f>-5</f>
        <v>-5</v>
      </c>
      <c r="K153" s="402">
        <f>-10</f>
        <v>-10</v>
      </c>
      <c r="L153" s="402">
        <f>-10-45</f>
        <v>-55</v>
      </c>
      <c r="M153" s="402">
        <v>-30</v>
      </c>
      <c r="N153" s="402">
        <v>0</v>
      </c>
      <c r="O153" s="402">
        <v>0</v>
      </c>
      <c r="P153" s="237"/>
      <c r="X153" s="346"/>
      <c r="Y153" s="238"/>
      <c r="Z153" s="238"/>
      <c r="AA153" s="238"/>
      <c r="AB153" s="238"/>
      <c r="AC153" s="238"/>
      <c r="AD153" s="238"/>
    </row>
    <row r="154" spans="1:30" s="2" customFormat="1" ht="15.75" customHeight="1" outlineLevel="1">
      <c r="A154" s="222" t="s">
        <v>284</v>
      </c>
      <c r="B154" s="222"/>
      <c r="C154" s="215"/>
      <c r="D154" s="215"/>
      <c r="E154" s="215"/>
      <c r="F154" s="215"/>
      <c r="G154" s="215"/>
      <c r="H154" s="215"/>
      <c r="I154" s="215"/>
      <c r="J154" s="402">
        <v>-5</v>
      </c>
      <c r="K154" s="402">
        <v>-45</v>
      </c>
      <c r="L154" s="402">
        <v>-25</v>
      </c>
      <c r="M154" s="402">
        <v>0</v>
      </c>
      <c r="N154" s="402">
        <v>0</v>
      </c>
      <c r="O154" s="402">
        <v>0</v>
      </c>
      <c r="P154" s="237"/>
      <c r="T154" s="2" t="s">
        <v>320</v>
      </c>
      <c r="X154" s="346"/>
      <c r="Y154" s="238"/>
      <c r="Z154" s="238"/>
      <c r="AA154" s="238"/>
      <c r="AB154" s="238"/>
      <c r="AC154" s="238"/>
      <c r="AD154" s="238"/>
    </row>
    <row r="155" spans="1:30" ht="15.75" customHeight="1" outlineLevel="1">
      <c r="A155" s="214" t="s">
        <v>187</v>
      </c>
      <c r="B155" s="214"/>
      <c r="C155" s="215">
        <f>-C141</f>
        <v>-49.110671936758891</v>
      </c>
      <c r="D155" s="215">
        <f>-D141</f>
        <v>-65.204081632653057</v>
      </c>
      <c r="E155" s="215">
        <f>-E141</f>
        <v>-63.419502301773818</v>
      </c>
      <c r="F155" s="215">
        <f>-F141</f>
        <v>-80.529751443635448</v>
      </c>
      <c r="G155" s="215">
        <f t="shared" ref="G155" si="141">SUM(G157:G159)</f>
        <v>-66.425058244887396</v>
      </c>
      <c r="H155" s="215">
        <f>SUM(H157:H159)</f>
        <v>-41.352249722458026</v>
      </c>
      <c r="I155" s="215">
        <f>SUM(I157:I159)</f>
        <v>-57</v>
      </c>
      <c r="J155" s="217">
        <f t="shared" ref="J155:O155" si="142">SUM(J157:J159)</f>
        <v>-42</v>
      </c>
      <c r="K155" s="217">
        <f t="shared" si="142"/>
        <v>-52</v>
      </c>
      <c r="L155" s="217">
        <f t="shared" si="142"/>
        <v>-52</v>
      </c>
      <c r="M155" s="217">
        <f t="shared" si="142"/>
        <v>-52</v>
      </c>
      <c r="N155" s="217">
        <f t="shared" si="142"/>
        <v>-52</v>
      </c>
      <c r="O155" s="217">
        <f t="shared" si="142"/>
        <v>-52</v>
      </c>
      <c r="P155" s="164" t="s">
        <v>214</v>
      </c>
      <c r="Q155" s="217">
        <f>J155*R144</f>
        <v>-30.466956605975341</v>
      </c>
      <c r="X155" s="172"/>
      <c r="Y155" s="151"/>
      <c r="Z155" s="151"/>
      <c r="AA155" s="151"/>
      <c r="AB155" s="151"/>
      <c r="AC155" s="151"/>
      <c r="AD155" s="151"/>
    </row>
    <row r="156" spans="1:30" ht="15.75" customHeight="1" outlineLevel="1">
      <c r="A156" s="244" t="s">
        <v>183</v>
      </c>
      <c r="B156" s="244"/>
      <c r="C156" s="245">
        <f t="shared" ref="C156:O156" si="143">C155/C9</f>
        <v>-3.3510136198139071E-2</v>
      </c>
      <c r="D156" s="245">
        <f t="shared" si="143"/>
        <v>-3.0355333164428677E-2</v>
      </c>
      <c r="E156" s="245">
        <f t="shared" si="143"/>
        <v>-2.8464506061350401E-2</v>
      </c>
      <c r="F156" s="245">
        <f t="shared" si="143"/>
        <v>-3.8914754545868152E-2</v>
      </c>
      <c r="G156" s="245">
        <f t="shared" si="143"/>
        <v>-3.58991577828143E-2</v>
      </c>
      <c r="H156" s="245">
        <f t="shared" si="143"/>
        <v>-2.4917198705399733E-2</v>
      </c>
      <c r="I156" s="245">
        <f t="shared" si="143"/>
        <v>-4.4622098662989107E-2</v>
      </c>
      <c r="J156" s="246">
        <f t="shared" si="143"/>
        <v>-2.7109432264943029E-2</v>
      </c>
      <c r="K156" s="246">
        <f t="shared" si="143"/>
        <v>-3.3758652777408381E-2</v>
      </c>
      <c r="L156" s="246">
        <f t="shared" si="143"/>
        <v>-3.0424988277618404E-2</v>
      </c>
      <c r="M156" s="246">
        <f t="shared" si="143"/>
        <v>-2.7736986160772231E-2</v>
      </c>
      <c r="N156" s="246">
        <f t="shared" si="143"/>
        <v>-2.4643931095285215E-2</v>
      </c>
      <c r="O156" s="246">
        <f t="shared" si="143"/>
        <v>-2.4284469964142311E-2</v>
      </c>
      <c r="P156" s="164"/>
      <c r="X156" s="172"/>
      <c r="Y156" s="151"/>
      <c r="Z156" s="151"/>
      <c r="AA156" s="151"/>
      <c r="AB156" s="151"/>
      <c r="AC156" s="151"/>
      <c r="AD156" s="151"/>
    </row>
    <row r="157" spans="1:30" ht="15.75" customHeight="1" outlineLevel="1">
      <c r="A157" s="222" t="s">
        <v>188</v>
      </c>
      <c r="B157" s="222"/>
      <c r="C157" s="215"/>
      <c r="D157" s="215"/>
      <c r="E157" s="215"/>
      <c r="F157" s="215"/>
      <c r="G157" s="215">
        <v>-23.220295107429457</v>
      </c>
      <c r="H157" s="215">
        <v>-21.352249722458026</v>
      </c>
      <c r="I157" s="215">
        <v>-35</v>
      </c>
      <c r="J157" s="217">
        <v>-20</v>
      </c>
      <c r="K157" s="217">
        <v>-30</v>
      </c>
      <c r="L157" s="217">
        <v>-30</v>
      </c>
      <c r="M157" s="217">
        <v>-30</v>
      </c>
      <c r="N157" s="217">
        <v>-30</v>
      </c>
      <c r="O157" s="217">
        <v>-30</v>
      </c>
      <c r="P157" s="164"/>
      <c r="X157" s="172"/>
      <c r="Y157" s="151"/>
      <c r="Z157" s="151"/>
      <c r="AA157" s="151"/>
      <c r="AB157" s="151"/>
      <c r="AC157" s="151"/>
      <c r="AD157" s="151"/>
    </row>
    <row r="158" spans="1:30" ht="15.75" customHeight="1" outlineLevel="1">
      <c r="A158" s="222" t="s">
        <v>189</v>
      </c>
      <c r="B158" s="222"/>
      <c r="C158" s="215"/>
      <c r="D158" s="215"/>
      <c r="E158" s="215"/>
      <c r="F158" s="215"/>
      <c r="G158" s="215">
        <v>-23.763914056432824</v>
      </c>
      <c r="H158" s="215">
        <v>-10</v>
      </c>
      <c r="I158" s="215">
        <v>-13</v>
      </c>
      <c r="J158" s="217">
        <v>-13</v>
      </c>
      <c r="K158" s="217">
        <v>-13</v>
      </c>
      <c r="L158" s="217">
        <v>-13</v>
      </c>
      <c r="M158" s="217">
        <v>-13</v>
      </c>
      <c r="N158" s="217">
        <v>-13</v>
      </c>
      <c r="O158" s="217">
        <v>-13</v>
      </c>
      <c r="P158" s="164"/>
      <c r="X158" s="172"/>
      <c r="Y158" s="151"/>
      <c r="Z158" s="151"/>
      <c r="AA158" s="151"/>
      <c r="AB158" s="151"/>
      <c r="AC158" s="151"/>
      <c r="AD158" s="151"/>
    </row>
    <row r="159" spans="1:30" ht="15.75" customHeight="1" outlineLevel="1">
      <c r="A159" s="222" t="s">
        <v>278</v>
      </c>
      <c r="B159" s="222"/>
      <c r="C159" s="215"/>
      <c r="D159" s="215"/>
      <c r="E159" s="215"/>
      <c r="F159" s="215"/>
      <c r="G159" s="215">
        <v>-19.44084908102511</v>
      </c>
      <c r="H159" s="215">
        <v>-10</v>
      </c>
      <c r="I159" s="215">
        <v>-9</v>
      </c>
      <c r="J159" s="217">
        <v>-9</v>
      </c>
      <c r="K159" s="217">
        <v>-9</v>
      </c>
      <c r="L159" s="217">
        <v>-9</v>
      </c>
      <c r="M159" s="217">
        <v>-9</v>
      </c>
      <c r="N159" s="217">
        <v>-9</v>
      </c>
      <c r="O159" s="217">
        <v>-9</v>
      </c>
      <c r="P159" s="164"/>
      <c r="X159" s="346"/>
      <c r="Y159" s="238"/>
      <c r="Z159" s="238"/>
      <c r="AA159" s="238"/>
      <c r="AB159" s="151"/>
      <c r="AC159" s="151"/>
      <c r="AD159" s="151"/>
    </row>
    <row r="160" spans="1:30" ht="15.75">
      <c r="A160" s="210" t="s">
        <v>190</v>
      </c>
      <c r="B160" s="210"/>
      <c r="C160" s="174">
        <f>-2398/C7</f>
        <v>-78.985507246376812</v>
      </c>
      <c r="D160" s="174">
        <f>-3285/D7</f>
        <v>-111.73469387755102</v>
      </c>
      <c r="E160" s="174">
        <f>-2520/E7</f>
        <v>-81.125454721050772</v>
      </c>
      <c r="F160" s="174">
        <f>4336/F7</f>
        <v>136.07833291488828</v>
      </c>
      <c r="G160" s="174">
        <f>-4088/G7</f>
        <v>-105.82448873932177</v>
      </c>
      <c r="H160" s="174">
        <f>(44223-41292)/H7</f>
        <v>47.851498726572189</v>
      </c>
      <c r="I160" s="174">
        <f>(27803-26684)/I7</f>
        <v>16.70566895455207</v>
      </c>
      <c r="J160" s="174">
        <f>(24312-28321)/J7</f>
        <v>-68.979460157006116</v>
      </c>
      <c r="K160" s="175">
        <v>0</v>
      </c>
      <c r="L160" s="175">
        <f t="shared" ref="L160:O160" si="144">K160</f>
        <v>0</v>
      </c>
      <c r="M160" s="175">
        <f t="shared" si="144"/>
        <v>0</v>
      </c>
      <c r="N160" s="175">
        <f t="shared" si="144"/>
        <v>0</v>
      </c>
      <c r="O160" s="175">
        <f t="shared" si="144"/>
        <v>0</v>
      </c>
      <c r="P160" s="164"/>
      <c r="Q160" s="403">
        <f>(18567-20421)/Q$7</f>
        <v>-31.96000689536287</v>
      </c>
      <c r="R160" s="208">
        <f>Q160/J160</f>
        <v>0.46332642822396386</v>
      </c>
      <c r="X160" s="347"/>
      <c r="Y160" s="279"/>
      <c r="Z160" s="279"/>
      <c r="AA160" s="238"/>
      <c r="AB160" s="151"/>
      <c r="AC160" s="151"/>
      <c r="AD160" s="151"/>
    </row>
    <row r="161" spans="1:30" ht="15.75">
      <c r="A161" s="225" t="s">
        <v>17</v>
      </c>
      <c r="B161" s="225"/>
      <c r="C161" s="269">
        <f>cover!G96</f>
        <v>270.2761093826756</v>
      </c>
      <c r="D161" s="269">
        <f>cover!H96</f>
        <v>380.49159925326694</v>
      </c>
      <c r="E161" s="269">
        <f>cover!I96</f>
        <v>565.43071654373023</v>
      </c>
      <c r="F161" s="269">
        <f>cover!J96</f>
        <v>264.52692424703383</v>
      </c>
      <c r="G161" s="269">
        <f>cover!K96</f>
        <v>270.25489708130397</v>
      </c>
      <c r="H161" s="269">
        <f>cover!L96</f>
        <v>163.56419287430347</v>
      </c>
      <c r="I161" s="269">
        <f>cover!M96</f>
        <v>182.53612728750846</v>
      </c>
      <c r="J161" s="269">
        <f>cover!N96</f>
        <v>183.64583333333331</v>
      </c>
      <c r="K161" s="241">
        <f>(J161*J8-K160*K7+(K133-K135)*K7)/K8</f>
        <v>174.06469959724257</v>
      </c>
      <c r="L161" s="241">
        <f>(K161*K8-L160*L7+(L133-L135)*L7)/L8</f>
        <v>149.00925039732508</v>
      </c>
      <c r="M161" s="241">
        <f>(L161*L8-M160*M7+(M133-M135)*M7)/M8</f>
        <v>125.01309947410658</v>
      </c>
      <c r="N161" s="241">
        <f>(M161*M8-N160*N7+(N133-N135)*N7)/N8</f>
        <v>96.53407589957402</v>
      </c>
      <c r="O161" s="241">
        <f>(N161*N8-O160*O7+(O133-O135)*O7)/O8</f>
        <v>67.25885929696048</v>
      </c>
      <c r="P161" s="164"/>
      <c r="X161" s="347"/>
      <c r="Y161" s="279"/>
      <c r="Z161" s="279"/>
      <c r="AA161" s="238"/>
      <c r="AB161" s="151"/>
      <c r="AC161" s="151"/>
      <c r="AD161" s="151"/>
    </row>
    <row r="162" spans="1:30" ht="15.75">
      <c r="A162" s="247" t="s">
        <v>183</v>
      </c>
      <c r="B162" s="247"/>
      <c r="C162" s="220">
        <f t="shared" ref="C162:O162" si="145">C161/C9</f>
        <v>0.18441998203933185</v>
      </c>
      <c r="D162" s="220">
        <f t="shared" si="145"/>
        <v>0.1771353720871239</v>
      </c>
      <c r="E162" s="220">
        <f t="shared" si="145"/>
        <v>0.25378165192385221</v>
      </c>
      <c r="F162" s="220">
        <f t="shared" si="145"/>
        <v>0.12782853719661333</v>
      </c>
      <c r="G162" s="220">
        <f t="shared" si="145"/>
        <v>0.14605818117813557</v>
      </c>
      <c r="H162" s="220">
        <f t="shared" si="145"/>
        <v>9.8557189083812932E-2</v>
      </c>
      <c r="I162" s="220">
        <f t="shared" si="145"/>
        <v>0.14289728212952879</v>
      </c>
      <c r="J162" s="220">
        <f t="shared" si="145"/>
        <v>0.1185365304640242</v>
      </c>
      <c r="K162" s="232">
        <f t="shared" si="145"/>
        <v>0.11300364912513861</v>
      </c>
      <c r="L162" s="232">
        <f t="shared" si="145"/>
        <v>8.7184705703756166E-2</v>
      </c>
      <c r="M162" s="232">
        <f t="shared" si="145"/>
        <v>6.6682434808241084E-2</v>
      </c>
      <c r="N162" s="232">
        <f t="shared" si="145"/>
        <v>4.5749598361848755E-2</v>
      </c>
      <c r="O162" s="232">
        <f t="shared" si="145"/>
        <v>3.1410495161913667E-2</v>
      </c>
      <c r="P162" s="164"/>
      <c r="X162" s="347"/>
      <c r="Y162" s="280"/>
      <c r="Z162" s="280"/>
      <c r="AA162" s="238"/>
      <c r="AB162" s="151"/>
      <c r="AC162" s="151"/>
      <c r="AD162" s="151"/>
    </row>
    <row r="163" spans="1:30" ht="15.75">
      <c r="A163" s="248" t="s">
        <v>8</v>
      </c>
      <c r="B163" s="248"/>
      <c r="C163" s="249">
        <f t="shared" ref="C163:O163" si="146">C129/C114</f>
        <v>0.36351951622909762</v>
      </c>
      <c r="D163" s="249">
        <f t="shared" si="146"/>
        <v>0.61669152077996092</v>
      </c>
      <c r="E163" s="249">
        <f t="shared" si="146"/>
        <v>0.3916867315669243</v>
      </c>
      <c r="F163" s="249">
        <f t="shared" si="146"/>
        <v>1.0855937271322278</v>
      </c>
      <c r="G163" s="249">
        <f t="shared" si="146"/>
        <v>0.91144691110163001</v>
      </c>
      <c r="H163" s="249">
        <f t="shared" si="146"/>
        <v>0.34600075737677755</v>
      </c>
      <c r="I163" s="249">
        <f t="shared" si="146"/>
        <v>1.239516592128765</v>
      </c>
      <c r="J163" s="249">
        <f t="shared" si="146"/>
        <v>1.2816402628326831</v>
      </c>
      <c r="K163" s="250">
        <f t="shared" si="146"/>
        <v>1.737511850399281</v>
      </c>
      <c r="L163" s="250">
        <f t="shared" si="146"/>
        <v>1.2775282312618563</v>
      </c>
      <c r="M163" s="250">
        <f t="shared" si="146"/>
        <v>0.98968552635450291</v>
      </c>
      <c r="N163" s="250">
        <f t="shared" si="146"/>
        <v>0.52958613540868649</v>
      </c>
      <c r="O163" s="250">
        <f t="shared" si="146"/>
        <v>0.25738238283499471</v>
      </c>
      <c r="P163" s="164"/>
      <c r="X163" s="347"/>
      <c r="Y163" s="280"/>
      <c r="Z163" s="279"/>
      <c r="AA163" s="238"/>
      <c r="AB163" s="151"/>
      <c r="AC163" s="151"/>
      <c r="AD163" s="151"/>
    </row>
    <row r="164" spans="1:30" ht="15.75">
      <c r="A164" s="251" t="s">
        <v>191</v>
      </c>
      <c r="B164" s="251"/>
      <c r="C164" s="174">
        <f>C138+C139+C141+C155+C160</f>
        <v>186.06719367588937</v>
      </c>
      <c r="D164" s="174">
        <f>D138+D139+D141+D155+D160</f>
        <v>310.88435374149657</v>
      </c>
      <c r="E164" s="174">
        <f>E138+E139+E141+E155+E160</f>
        <v>323.95454399124378</v>
      </c>
      <c r="F164" s="174">
        <f>F138+F139+F141+F155+F160</f>
        <v>373.24253075571187</v>
      </c>
      <c r="G164" s="174">
        <f>G115+G118+G121+G130+G135+G139+G155+G160+(3984-4115)/G7</f>
        <v>212.24436966088501</v>
      </c>
      <c r="H164" s="174">
        <f>H115+H118+H121+H130+H135+H139+H155+H160</f>
        <v>540.03284790700695</v>
      </c>
      <c r="I164" s="174">
        <f t="shared" ref="I164:O164" si="147">I138+I139+I141+I155+I160</f>
        <v>291.43039117988457</v>
      </c>
      <c r="J164" s="174">
        <f t="shared" si="147"/>
        <v>272.88977309388099</v>
      </c>
      <c r="K164" s="175">
        <f t="shared" si="147"/>
        <v>337.25277621150644</v>
      </c>
      <c r="L164" s="175">
        <f t="shared" si="147"/>
        <v>457.05794654744949</v>
      </c>
      <c r="M164" s="175">
        <f t="shared" si="147"/>
        <v>527.25912900199864</v>
      </c>
      <c r="N164" s="175">
        <f t="shared" si="147"/>
        <v>638.70474030664377</v>
      </c>
      <c r="O164" s="175">
        <f t="shared" si="147"/>
        <v>658.88475200112691</v>
      </c>
      <c r="P164" s="164"/>
      <c r="Q164" s="175">
        <f>Q138+Q139+Q141+Q155+Q160</f>
        <v>208.55631524370574</v>
      </c>
      <c r="R164" s="208">
        <f>Q164/J164</f>
        <v>0.76425112190612243</v>
      </c>
      <c r="X164" s="347"/>
      <c r="Y164" s="280"/>
      <c r="Z164" s="280"/>
      <c r="AA164" s="238"/>
      <c r="AB164" s="151"/>
      <c r="AC164" s="151"/>
      <c r="AD164" s="151"/>
    </row>
    <row r="165" spans="1:30" ht="15.75">
      <c r="A165" s="248" t="s">
        <v>192</v>
      </c>
      <c r="B165" s="319"/>
      <c r="C165" s="240">
        <f t="shared" ref="C165:O165" si="148">C4</f>
        <v>1573.8792885375494</v>
      </c>
      <c r="D165" s="240">
        <f t="shared" si="148"/>
        <v>2089.1710476190478</v>
      </c>
      <c r="E165" s="240">
        <f t="shared" si="148"/>
        <v>2009.5634162830379</v>
      </c>
      <c r="F165" s="240">
        <f t="shared" si="148"/>
        <v>1677.0988743535138</v>
      </c>
      <c r="G165" s="240">
        <f t="shared" si="148"/>
        <v>1824.03</v>
      </c>
      <c r="H165" s="240">
        <f t="shared" si="148"/>
        <v>1884.4754385964911</v>
      </c>
      <c r="I165" s="240">
        <f t="shared" si="148"/>
        <v>2336.31931248</v>
      </c>
      <c r="J165" s="240">
        <f t="shared" si="148"/>
        <v>2710.8324249919347</v>
      </c>
      <c r="K165" s="241">
        <f t="shared" si="148"/>
        <v>2818.2469689655172</v>
      </c>
      <c r="L165" s="241">
        <f t="shared" si="148"/>
        <v>2818.2469689655172</v>
      </c>
      <c r="M165" s="241">
        <f t="shared" si="148"/>
        <v>2818.2469689655172</v>
      </c>
      <c r="N165" s="241">
        <f t="shared" si="148"/>
        <v>2818.2469689655172</v>
      </c>
      <c r="O165" s="241">
        <f t="shared" si="148"/>
        <v>2818.2469689655172</v>
      </c>
      <c r="P165" s="164"/>
      <c r="X165" s="347"/>
      <c r="Y165" s="279"/>
      <c r="Z165" s="279"/>
      <c r="AA165" s="238"/>
      <c r="AB165" s="151"/>
      <c r="AC165" s="151"/>
      <c r="AD165" s="151"/>
    </row>
    <row r="166" spans="1:30" ht="16.5">
      <c r="A166" s="252" t="s">
        <v>193</v>
      </c>
      <c r="B166" s="252"/>
      <c r="C166" s="253">
        <f>C164/C165</f>
        <v>0.1182220231443437</v>
      </c>
      <c r="D166" s="253">
        <f t="shared" ref="D166:J166" si="149">D164/D165</f>
        <v>0.14880751583064494</v>
      </c>
      <c r="E166" s="253">
        <f t="shared" si="149"/>
        <v>0.16120642989731668</v>
      </c>
      <c r="F166" s="253">
        <f>F164/F165</f>
        <v>0.22255249017419382</v>
      </c>
      <c r="G166" s="253">
        <f t="shared" si="149"/>
        <v>0.11636013095227875</v>
      </c>
      <c r="H166" s="253">
        <f>H164/H165</f>
        <v>0.28656932154510306</v>
      </c>
      <c r="I166" s="253">
        <f t="shared" si="149"/>
        <v>0.12473910977114322</v>
      </c>
      <c r="J166" s="253">
        <f t="shared" si="149"/>
        <v>0.10066641175530903</v>
      </c>
      <c r="K166" s="254">
        <f>K164/K165</f>
        <v>0.11966757346865896</v>
      </c>
      <c r="L166" s="254">
        <f t="shared" ref="L166:O166" si="150">L164/L165</f>
        <v>0.16217810276408101</v>
      </c>
      <c r="M166" s="254">
        <f>M164/M165</f>
        <v>0.18708762390527384</v>
      </c>
      <c r="N166" s="254">
        <f t="shared" si="150"/>
        <v>0.2266319266338431</v>
      </c>
      <c r="O166" s="254">
        <f t="shared" si="150"/>
        <v>0.23379241040858145</v>
      </c>
      <c r="P166" s="164"/>
      <c r="X166" s="347"/>
      <c r="Y166" s="280"/>
      <c r="Z166" s="279"/>
      <c r="AA166" s="238"/>
      <c r="AB166" s="151"/>
      <c r="AC166" s="151"/>
      <c r="AD166" s="151"/>
    </row>
    <row r="167" spans="1:30" ht="15.75">
      <c r="A167" s="165" t="s">
        <v>212</v>
      </c>
      <c r="B167" s="165"/>
      <c r="C167" s="215">
        <f t="shared" ref="C167:I167" si="151">-C168*C5</f>
        <v>-274.12259863945582</v>
      </c>
      <c r="D167" s="215">
        <f t="shared" si="151"/>
        <v>-70.618729678395525</v>
      </c>
      <c r="E167" s="215">
        <f t="shared" si="151"/>
        <v>-95.782274667336182</v>
      </c>
      <c r="F167" s="216">
        <f t="shared" si="151"/>
        <v>-159.4917939425317</v>
      </c>
      <c r="G167" s="216">
        <f t="shared" si="151"/>
        <v>-106.30615094339623</v>
      </c>
      <c r="H167" s="216">
        <f t="shared" si="151"/>
        <v>-119.11643701430157</v>
      </c>
      <c r="I167" s="216">
        <f>-I168*I5</f>
        <v>-168.67708474576273</v>
      </c>
      <c r="J167" s="216">
        <f>-J168*J5</f>
        <v>-235.16471286805032</v>
      </c>
      <c r="K167" s="217">
        <f t="shared" ref="K167:O167" si="152">-K168*K5</f>
        <v>-185.48902691632856</v>
      </c>
      <c r="L167" s="217">
        <f t="shared" si="152"/>
        <v>-251.38187060109723</v>
      </c>
      <c r="M167" s="217">
        <f t="shared" si="152"/>
        <v>-369.08139030139904</v>
      </c>
      <c r="N167" s="217">
        <f t="shared" si="152"/>
        <v>-447.09331821465059</v>
      </c>
      <c r="O167" s="217">
        <f t="shared" si="152"/>
        <v>-461.21932640078887</v>
      </c>
      <c r="P167" s="164"/>
      <c r="X167" s="347"/>
      <c r="Y167" s="280"/>
      <c r="Z167" s="280"/>
      <c r="AA167" s="238"/>
      <c r="AB167" s="151"/>
      <c r="AC167" s="151"/>
      <c r="AD167" s="151"/>
    </row>
    <row r="168" spans="1:30" ht="15.75">
      <c r="A168" s="255" t="s">
        <v>216</v>
      </c>
      <c r="B168" s="255"/>
      <c r="C168" s="256">
        <f>(40+129)/D7</f>
        <v>5.7482993197278915</v>
      </c>
      <c r="D168" s="256">
        <f>46/E7</f>
        <v>1.4808614750667999</v>
      </c>
      <c r="E168" s="256">
        <f>64/F7</f>
        <v>2.0085362791865427</v>
      </c>
      <c r="F168" s="256">
        <f>152/G7</f>
        <v>3.9347657261195961</v>
      </c>
      <c r="G168" s="256">
        <f>139/53</f>
        <v>2.6226415094339623</v>
      </c>
      <c r="H168" s="256">
        <f>180/H7</f>
        <v>2.938679553320708</v>
      </c>
      <c r="I168" s="256">
        <f>(155+95)/59</f>
        <v>4.2372881355932206</v>
      </c>
      <c r="J168" s="256">
        <f>(235+112)/J7</f>
        <v>5.9705344660716202</v>
      </c>
      <c r="K168" s="257">
        <f t="shared" ref="K168:O168" si="153">K164/K5*K169</f>
        <v>4.709331662796794</v>
      </c>
      <c r="L168" s="257">
        <f t="shared" si="153"/>
        <v>6.3822675786037051</v>
      </c>
      <c r="M168" s="257">
        <f t="shared" si="153"/>
        <v>9.3705094387038006</v>
      </c>
      <c r="N168" s="257">
        <f t="shared" si="153"/>
        <v>11.351133566746794</v>
      </c>
      <c r="O168" s="257">
        <f t="shared" si="153"/>
        <v>11.709775038567743</v>
      </c>
      <c r="P168" s="164"/>
      <c r="X168" s="346"/>
      <c r="Y168" s="238"/>
      <c r="Z168" s="238"/>
      <c r="AA168" s="238"/>
      <c r="AB168" s="151"/>
      <c r="AC168" s="151"/>
      <c r="AD168" s="151"/>
    </row>
    <row r="169" spans="1:30" ht="15.75">
      <c r="A169" s="258" t="s">
        <v>96</v>
      </c>
      <c r="B169" s="258"/>
      <c r="C169" s="178">
        <f t="shared" ref="C169:H169" si="154">C168*C5/C137</f>
        <v>1.3254279494655006</v>
      </c>
      <c r="D169" s="178">
        <f t="shared" si="154"/>
        <v>0.1021345263943737</v>
      </c>
      <c r="E169" s="178">
        <f t="shared" si="154"/>
        <v>0.23654673223020051</v>
      </c>
      <c r="F169" s="178">
        <f t="shared" si="154"/>
        <v>0.47288048033728758</v>
      </c>
      <c r="G169" s="178">
        <f t="shared" si="154"/>
        <v>0.82428876173091203</v>
      </c>
      <c r="H169" s="178">
        <f t="shared" si="154"/>
        <v>0.46000378286362775</v>
      </c>
      <c r="I169" s="178">
        <f>I168*I5/I137</f>
        <v>0.4354132851669279</v>
      </c>
      <c r="J169" s="178">
        <f>J168*J5/J137</f>
        <v>0.9584487486676021</v>
      </c>
      <c r="K169" s="179">
        <v>0.55000000000000004</v>
      </c>
      <c r="L169" s="179">
        <f t="shared" ref="L169" si="155">K169</f>
        <v>0.55000000000000004</v>
      </c>
      <c r="M169" s="179">
        <v>0.7</v>
      </c>
      <c r="N169" s="179">
        <v>0.7</v>
      </c>
      <c r="O169" s="179">
        <v>0.7</v>
      </c>
      <c r="P169" s="164"/>
      <c r="X169" s="346"/>
      <c r="Y169" s="259"/>
      <c r="Z169" s="259"/>
      <c r="AA169" s="238"/>
      <c r="AB169" s="151"/>
      <c r="AC169" s="151"/>
      <c r="AD169" s="151"/>
    </row>
    <row r="170" spans="1:30" ht="15.75">
      <c r="A170" s="258" t="s">
        <v>194</v>
      </c>
      <c r="B170" s="258"/>
      <c r="C170" s="178">
        <f t="shared" ref="C170:O170" si="156">C168/C6</f>
        <v>0.17417002729235409</v>
      </c>
      <c r="D170" s="178">
        <f t="shared" si="156"/>
        <v>3.3802272800437821E-2</v>
      </c>
      <c r="E170" s="178">
        <f t="shared" si="156"/>
        <v>4.7663225699290733E-2</v>
      </c>
      <c r="F170" s="178">
        <f t="shared" si="156"/>
        <v>9.5099815748199354E-2</v>
      </c>
      <c r="G170" s="178">
        <f t="shared" si="156"/>
        <v>5.8280922431865827E-2</v>
      </c>
      <c r="H170" s="178">
        <f t="shared" si="156"/>
        <v>6.3209333788407679E-2</v>
      </c>
      <c r="I170" s="178">
        <f t="shared" si="156"/>
        <v>7.2197787282215375E-2</v>
      </c>
      <c r="J170" s="178">
        <f t="shared" si="156"/>
        <v>8.6749999999999994E-2</v>
      </c>
      <c r="K170" s="179">
        <f t="shared" si="156"/>
        <v>6.5817165407762432E-2</v>
      </c>
      <c r="L170" s="179">
        <f t="shared" si="156"/>
        <v>8.9197956520244551E-2</v>
      </c>
      <c r="M170" s="179">
        <f t="shared" si="156"/>
        <v>0.13096133673369167</v>
      </c>
      <c r="N170" s="179">
        <f t="shared" si="156"/>
        <v>0.15864234864369015</v>
      </c>
      <c r="O170" s="179">
        <f t="shared" si="156"/>
        <v>0.16365468728600702</v>
      </c>
      <c r="P170" s="164"/>
      <c r="X170" s="346"/>
      <c r="Y170" s="259"/>
      <c r="Z170" s="259"/>
      <c r="AA170" s="238"/>
      <c r="AB170" s="151"/>
      <c r="AC170" s="151"/>
      <c r="AD170" s="151"/>
    </row>
    <row r="171" spans="1:30" ht="15.75">
      <c r="A171" s="258"/>
      <c r="B171" s="258"/>
      <c r="C171" s="178"/>
      <c r="D171" s="178"/>
      <c r="E171" s="178"/>
      <c r="F171" s="178"/>
      <c r="G171" s="178"/>
      <c r="H171" s="178"/>
      <c r="I171" s="179"/>
      <c r="J171" s="179"/>
      <c r="K171" s="179"/>
      <c r="L171" s="179"/>
      <c r="M171" s="179"/>
      <c r="N171" s="179"/>
      <c r="O171" s="179"/>
      <c r="P171" s="164"/>
      <c r="X171" s="346"/>
      <c r="Y171" s="259"/>
      <c r="Z171" s="259"/>
      <c r="AA171" s="238"/>
      <c r="AB171" s="151"/>
      <c r="AC171" s="151"/>
      <c r="AD171" s="151"/>
    </row>
    <row r="172" spans="1:30" ht="15.75">
      <c r="A172" s="258"/>
      <c r="B172" s="258"/>
      <c r="C172" s="178"/>
      <c r="D172" s="178"/>
      <c r="E172" s="178"/>
      <c r="F172" s="178"/>
      <c r="G172" s="178"/>
      <c r="H172" s="178"/>
      <c r="I172" s="179"/>
      <c r="J172" s="217"/>
      <c r="K172" s="179"/>
      <c r="L172" s="179"/>
      <c r="M172" s="179"/>
      <c r="N172" s="179"/>
      <c r="O172" s="179"/>
      <c r="P172" s="164"/>
      <c r="R172" s="346"/>
      <c r="S172" s="346"/>
      <c r="T172" s="346"/>
      <c r="U172" s="259"/>
      <c r="V172" s="259"/>
      <c r="W172" s="238"/>
      <c r="X172" s="151"/>
      <c r="Y172" s="151"/>
      <c r="Z172" s="151"/>
      <c r="AA172" s="151"/>
      <c r="AB172" s="151"/>
      <c r="AC172" s="151"/>
    </row>
    <row r="173" spans="1:30" ht="15.75">
      <c r="A173" s="210" t="s">
        <v>10</v>
      </c>
      <c r="B173" s="174">
        <v>169</v>
      </c>
      <c r="C173" s="174">
        <v>289.52569169960475</v>
      </c>
      <c r="D173" s="174">
        <v>623.36734693877543</v>
      </c>
      <c r="E173" s="174">
        <v>593.7932588610247</v>
      </c>
      <c r="F173" s="174">
        <v>409.42756716043186</v>
      </c>
      <c r="G173" s="174">
        <v>431.47812580895652</v>
      </c>
      <c r="H173" s="174">
        <v>589.30320642591255</v>
      </c>
      <c r="I173" s="175">
        <v>467.30631544189464</v>
      </c>
      <c r="J173" s="175">
        <v>531.15952186142545</v>
      </c>
      <c r="K173" s="175">
        <v>536.7262633319574</v>
      </c>
      <c r="L173" s="175">
        <v>553.43122752207091</v>
      </c>
      <c r="M173" s="175">
        <v>572.83953462572481</v>
      </c>
      <c r="N173" s="175">
        <v>592.24784172937905</v>
      </c>
      <c r="O173" s="175">
        <v>593.24784172937905</v>
      </c>
      <c r="R173" s="346"/>
      <c r="S173" s="346"/>
      <c r="T173" s="346"/>
      <c r="U173" s="259"/>
      <c r="V173" s="259"/>
      <c r="W173" s="2"/>
    </row>
    <row r="174" spans="1:30" ht="15.75">
      <c r="A174" s="210" t="s">
        <v>265</v>
      </c>
      <c r="B174" s="282">
        <f>B173/1182</f>
        <v>0.14297800338409475</v>
      </c>
      <c r="C174" s="282">
        <v>0.19755472647997482</v>
      </c>
      <c r="D174" s="282">
        <v>0.29020458576133767</v>
      </c>
      <c r="E174" s="282">
        <v>0.26651158086376059</v>
      </c>
      <c r="F174" s="282">
        <v>0.1978495275936851</v>
      </c>
      <c r="G174" s="282">
        <v>0.23319063208259874</v>
      </c>
      <c r="H174" s="282">
        <v>0.35509035640856634</v>
      </c>
      <c r="I174" s="282">
        <v>0.30921934832439196</v>
      </c>
      <c r="J174" s="282">
        <v>0.30461133309485539</v>
      </c>
      <c r="K174" s="282">
        <v>0.30120545698806428</v>
      </c>
      <c r="L174" s="282">
        <v>0.308076490601839</v>
      </c>
      <c r="M174" s="282">
        <v>0.31647462868865511</v>
      </c>
      <c r="N174" s="282">
        <v>0.324872766775471</v>
      </c>
      <c r="O174" s="282">
        <v>1.3248727667754701</v>
      </c>
      <c r="R174" s="346"/>
      <c r="S174" s="346"/>
      <c r="T174" s="346"/>
      <c r="U174" s="259"/>
      <c r="V174" s="259"/>
      <c r="W174" s="2"/>
    </row>
    <row r="175" spans="1:30" ht="15.75">
      <c r="A175" s="1" t="s">
        <v>263</v>
      </c>
      <c r="B175" s="283">
        <f>AVERAGE(B174:H174)</f>
        <v>0.24048277322485972</v>
      </c>
      <c r="C175" s="283">
        <f t="shared" ref="C175:O175" si="157">B175</f>
        <v>0.24048277322485972</v>
      </c>
      <c r="D175" s="283">
        <f t="shared" si="157"/>
        <v>0.24048277322485972</v>
      </c>
      <c r="E175" s="283">
        <f t="shared" si="157"/>
        <v>0.24048277322485972</v>
      </c>
      <c r="F175" s="283">
        <f t="shared" si="157"/>
        <v>0.24048277322485972</v>
      </c>
      <c r="G175" s="283">
        <f t="shared" si="157"/>
        <v>0.24048277322485972</v>
      </c>
      <c r="H175" s="283">
        <f t="shared" si="157"/>
        <v>0.24048277322485972</v>
      </c>
      <c r="I175" s="283">
        <f t="shared" si="157"/>
        <v>0.24048277322485972</v>
      </c>
      <c r="J175" s="283">
        <f t="shared" si="157"/>
        <v>0.24048277322485972</v>
      </c>
      <c r="K175" s="283">
        <f t="shared" si="157"/>
        <v>0.24048277322485972</v>
      </c>
      <c r="L175" s="283">
        <f t="shared" si="157"/>
        <v>0.24048277322485972</v>
      </c>
      <c r="M175" s="283">
        <f t="shared" si="157"/>
        <v>0.24048277322485972</v>
      </c>
      <c r="N175" s="283">
        <f t="shared" si="157"/>
        <v>0.24048277322485972</v>
      </c>
      <c r="O175" s="283">
        <f t="shared" si="157"/>
        <v>0.24048277322485972</v>
      </c>
      <c r="R175" s="346"/>
      <c r="S175" s="346"/>
      <c r="T175" s="346"/>
      <c r="U175" s="259"/>
      <c r="V175" s="259"/>
      <c r="W175" s="2"/>
    </row>
    <row r="176" spans="1:30" ht="15.75">
      <c r="I176" s="175">
        <v>417</v>
      </c>
      <c r="J176" s="175">
        <v>414</v>
      </c>
      <c r="K176" s="175">
        <v>403</v>
      </c>
      <c r="L176" s="175">
        <v>416</v>
      </c>
      <c r="M176" s="175">
        <v>432</v>
      </c>
      <c r="N176" s="175">
        <v>448</v>
      </c>
      <c r="O176" s="175">
        <v>449</v>
      </c>
      <c r="R176" s="346"/>
      <c r="S176" s="346"/>
      <c r="T176" s="346"/>
      <c r="U176" s="259"/>
      <c r="V176" s="259"/>
      <c r="W176" s="2"/>
    </row>
    <row r="177" spans="1:28" ht="15.75">
      <c r="A177" s="1" t="s">
        <v>264</v>
      </c>
      <c r="H177" s="284">
        <f>H174</f>
        <v>0.35509035640856634</v>
      </c>
      <c r="I177" s="282">
        <v>0.3</v>
      </c>
      <c r="J177" s="282">
        <v>0.28000000000000003</v>
      </c>
      <c r="K177" s="282">
        <v>0.26</v>
      </c>
      <c r="L177" s="282">
        <v>0.27</v>
      </c>
      <c r="M177" s="282">
        <v>0.28000000000000003</v>
      </c>
      <c r="N177" s="282">
        <v>0.28999999999999998</v>
      </c>
      <c r="O177" s="282">
        <v>1.29</v>
      </c>
      <c r="R177" s="346"/>
      <c r="S177" s="346"/>
      <c r="T177" s="346"/>
      <c r="U177" s="2"/>
      <c r="V177" s="2"/>
      <c r="W177" s="2"/>
    </row>
    <row r="178" spans="1:28" ht="15.75">
      <c r="G178" s="175">
        <f>G173</f>
        <v>431.47812580895652</v>
      </c>
      <c r="H178" s="175">
        <f t="shared" ref="H178:O178" si="158">H173-250</f>
        <v>339.30320642591255</v>
      </c>
      <c r="I178" s="175">
        <f t="shared" si="158"/>
        <v>217.30631544189464</v>
      </c>
      <c r="J178" s="175">
        <f t="shared" si="158"/>
        <v>281.15952186142545</v>
      </c>
      <c r="K178" s="175">
        <f t="shared" si="158"/>
        <v>286.7262633319574</v>
      </c>
      <c r="L178" s="175">
        <f t="shared" si="158"/>
        <v>303.43122752207091</v>
      </c>
      <c r="M178" s="175">
        <f t="shared" si="158"/>
        <v>322.83953462572481</v>
      </c>
      <c r="N178" s="175">
        <f t="shared" si="158"/>
        <v>342.24784172937905</v>
      </c>
      <c r="O178" s="175">
        <f t="shared" si="158"/>
        <v>343.24784172937905</v>
      </c>
      <c r="R178" s="346"/>
      <c r="S178" s="346"/>
      <c r="T178" s="346"/>
      <c r="U178" s="2"/>
      <c r="V178" s="2"/>
      <c r="W178" s="2"/>
    </row>
    <row r="179" spans="1:28" ht="33.75">
      <c r="A179" s="1" t="s">
        <v>266</v>
      </c>
      <c r="G179" s="282">
        <f>178:178/9:9</f>
        <v>0.23319063208259874</v>
      </c>
      <c r="H179" s="282">
        <f>178:178/9:9</f>
        <v>0.20445043432067914</v>
      </c>
      <c r="I179" s="282">
        <f>178:178/9:9</f>
        <v>0.17011690960945361</v>
      </c>
      <c r="J179" s="282">
        <f>178:178/9:9</f>
        <v>0.18147797651300196</v>
      </c>
      <c r="K179" s="282">
        <f>178:178/9:9</f>
        <v>0.18614408396129442</v>
      </c>
      <c r="L179" s="282">
        <f>178:178/9:9</f>
        <v>0.17753637577735326</v>
      </c>
      <c r="M179" s="282">
        <f>178:178/9:9</f>
        <v>0.17220376353968991</v>
      </c>
      <c r="N179" s="282">
        <f>178:178/9:9</f>
        <v>0.16219869671324802</v>
      </c>
      <c r="O179" s="282">
        <f>178:178/9:9</f>
        <v>0.1602998442833419</v>
      </c>
      <c r="R179" s="346"/>
      <c r="S179" s="346"/>
      <c r="T179" s="346"/>
      <c r="U179" s="2"/>
      <c r="V179" s="2"/>
      <c r="W179" s="2"/>
      <c r="AA179" s="325" t="s">
        <v>274</v>
      </c>
      <c r="AB179" s="326" t="s">
        <v>196</v>
      </c>
    </row>
    <row r="180" spans="1:28" ht="15.75">
      <c r="G180" s="363"/>
      <c r="H180" s="364"/>
      <c r="I180" s="364">
        <f t="shared" ref="I180" si="159">I114*I7</f>
        <v>30499.999999999996</v>
      </c>
      <c r="J180" s="364">
        <f>J114*J7</f>
        <v>29540.999999999993</v>
      </c>
      <c r="K180" s="363"/>
      <c r="L180" s="363"/>
      <c r="M180" s="363"/>
      <c r="N180" s="363"/>
      <c r="O180" s="363"/>
      <c r="R180" s="346"/>
      <c r="S180" s="346"/>
      <c r="T180" s="346"/>
      <c r="U180" s="2"/>
      <c r="V180" s="2"/>
      <c r="W180" s="2"/>
      <c r="AA180" s="325"/>
      <c r="AB180" s="326"/>
    </row>
    <row r="181" spans="1:28" ht="15.75">
      <c r="G181" s="363"/>
      <c r="H181" s="363"/>
      <c r="I181" s="363"/>
      <c r="J181" s="363"/>
      <c r="K181" s="363"/>
      <c r="L181" s="363"/>
      <c r="M181" s="363"/>
      <c r="N181" s="363"/>
      <c r="O181" s="363"/>
      <c r="R181" s="346"/>
      <c r="S181" s="346"/>
      <c r="T181" s="346"/>
      <c r="U181" s="2"/>
      <c r="V181" s="2"/>
      <c r="W181" s="2"/>
      <c r="AA181" s="325"/>
      <c r="AB181" s="326"/>
    </row>
    <row r="182" spans="1:28" ht="15.75">
      <c r="G182" s="363"/>
      <c r="H182" s="363"/>
      <c r="I182" s="363"/>
      <c r="J182" s="363"/>
      <c r="K182" s="363"/>
      <c r="L182" s="363"/>
      <c r="M182" s="363"/>
      <c r="N182" s="363"/>
      <c r="O182" s="363"/>
      <c r="R182" s="346"/>
      <c r="S182" s="346"/>
      <c r="T182" s="346"/>
      <c r="U182" s="2"/>
      <c r="V182" s="2"/>
      <c r="W182" s="2"/>
      <c r="AA182" s="325"/>
      <c r="AB182" s="326"/>
    </row>
    <row r="183" spans="1:28" ht="15.75">
      <c r="C183" s="261">
        <f>-44250/I8</f>
        <v>-734.15957393857946</v>
      </c>
      <c r="R183" s="348"/>
      <c r="S183" s="348"/>
      <c r="T183" s="348"/>
      <c r="U183" s="281"/>
      <c r="V183" s="281"/>
      <c r="W183" s="2"/>
      <c r="Z183" s="322">
        <v>36657</v>
      </c>
      <c r="AA183" s="323">
        <v>85.5</v>
      </c>
      <c r="AB183" s="323">
        <v>51.5</v>
      </c>
    </row>
    <row r="184" spans="1:28" ht="15.75">
      <c r="C184" s="261">
        <f>C183*40%</f>
        <v>-293.66382957543181</v>
      </c>
      <c r="R184" s="348"/>
      <c r="S184" s="348"/>
      <c r="T184" s="348"/>
      <c r="U184" s="281"/>
      <c r="V184" s="281"/>
      <c r="W184" s="2"/>
      <c r="Z184" s="322">
        <v>36664</v>
      </c>
      <c r="AA184" s="323">
        <v>86.5</v>
      </c>
      <c r="AB184" s="323">
        <v>51.5</v>
      </c>
    </row>
    <row r="185" spans="1:28" ht="15.75">
      <c r="R185" s="348"/>
      <c r="S185" s="348"/>
      <c r="T185" s="348"/>
      <c r="U185" s="281"/>
      <c r="V185" s="281"/>
      <c r="W185" s="2"/>
      <c r="Z185" s="322">
        <v>36671</v>
      </c>
      <c r="AA185" s="323">
        <v>94</v>
      </c>
      <c r="AB185" s="323">
        <v>51.5</v>
      </c>
    </row>
    <row r="186" spans="1:28" ht="33.75">
      <c r="A186" s="262" t="s">
        <v>82</v>
      </c>
      <c r="B186" s="262"/>
      <c r="C186" s="263" t="s">
        <v>195</v>
      </c>
      <c r="D186" s="263" t="s">
        <v>196</v>
      </c>
      <c r="E186" s="263" t="s">
        <v>197</v>
      </c>
      <c r="F186" s="1"/>
      <c r="R186" s="348"/>
      <c r="S186" s="348"/>
      <c r="T186" s="348"/>
      <c r="U186" s="281"/>
      <c r="V186" s="281"/>
      <c r="W186" s="2"/>
      <c r="Z186" s="322">
        <v>36678</v>
      </c>
      <c r="AA186" s="323">
        <v>98.5</v>
      </c>
      <c r="AB186" s="323">
        <v>51</v>
      </c>
    </row>
    <row r="187" spans="1:28" ht="15.75">
      <c r="A187" s="263"/>
      <c r="B187" s="263"/>
      <c r="C187" s="263" t="s">
        <v>198</v>
      </c>
      <c r="D187" s="263" t="s">
        <v>198</v>
      </c>
      <c r="E187" s="263" t="s">
        <v>198</v>
      </c>
      <c r="F187" s="1"/>
      <c r="R187" s="348"/>
      <c r="S187" s="348"/>
      <c r="T187" s="348"/>
      <c r="U187" s="281"/>
      <c r="V187" s="281"/>
      <c r="W187" s="2"/>
      <c r="Z187" s="322">
        <v>36685</v>
      </c>
      <c r="AA187" s="323">
        <v>105.5</v>
      </c>
      <c r="AB187" s="323">
        <v>52</v>
      </c>
    </row>
    <row r="188" spans="1:28">
      <c r="A188" s="264">
        <v>36664</v>
      </c>
      <c r="B188" s="264">
        <v>36664</v>
      </c>
      <c r="C188" s="265">
        <v>86.5</v>
      </c>
      <c r="D188" s="265">
        <v>51.5</v>
      </c>
      <c r="E188" s="265"/>
      <c r="F188" s="1"/>
      <c r="R188" s="349"/>
      <c r="S188" s="349"/>
      <c r="T188" s="349"/>
      <c r="U188" s="2"/>
      <c r="V188" s="2"/>
      <c r="W188" s="2"/>
      <c r="Z188" s="322">
        <v>36692</v>
      </c>
      <c r="AA188" s="323">
        <v>105.5</v>
      </c>
      <c r="AB188" s="323">
        <v>55</v>
      </c>
    </row>
    <row r="189" spans="1:28">
      <c r="A189" s="264">
        <v>36671</v>
      </c>
      <c r="B189" s="264">
        <v>36671</v>
      </c>
      <c r="C189" s="265">
        <v>94</v>
      </c>
      <c r="D189" s="265">
        <v>51.5</v>
      </c>
      <c r="E189" s="265"/>
      <c r="F189" s="1"/>
      <c r="R189" s="349"/>
      <c r="S189" s="349"/>
      <c r="T189" s="349"/>
      <c r="U189" s="2"/>
      <c r="V189" s="2"/>
      <c r="W189" s="2"/>
      <c r="Z189" s="322">
        <v>36699</v>
      </c>
      <c r="AA189" s="323">
        <v>108</v>
      </c>
      <c r="AB189" s="323">
        <v>54.5</v>
      </c>
    </row>
    <row r="190" spans="1:28">
      <c r="A190" s="264">
        <v>36678</v>
      </c>
      <c r="B190" s="264">
        <v>36678</v>
      </c>
      <c r="C190" s="265">
        <v>98.5</v>
      </c>
      <c r="D190" s="265">
        <v>51.5</v>
      </c>
      <c r="E190" s="265"/>
      <c r="F190" s="1"/>
      <c r="R190" s="349"/>
      <c r="S190" s="349"/>
      <c r="T190" s="349"/>
      <c r="U190" s="281"/>
      <c r="V190" s="281"/>
      <c r="W190" s="2"/>
      <c r="Z190" s="322">
        <v>36706</v>
      </c>
      <c r="AA190" s="323">
        <v>109.5</v>
      </c>
      <c r="AB190" s="323">
        <v>52.5</v>
      </c>
    </row>
    <row r="191" spans="1:28">
      <c r="A191" s="264">
        <v>36685</v>
      </c>
      <c r="B191" s="264">
        <v>36685</v>
      </c>
      <c r="C191" s="265">
        <v>105.5</v>
      </c>
      <c r="D191" s="265">
        <v>51</v>
      </c>
      <c r="E191" s="265"/>
      <c r="F191" s="1"/>
      <c r="Z191" s="322">
        <v>36713</v>
      </c>
      <c r="AA191" s="323">
        <v>110.5</v>
      </c>
      <c r="AB191" s="323">
        <v>58.5</v>
      </c>
    </row>
    <row r="192" spans="1:28">
      <c r="A192" s="264">
        <v>36692</v>
      </c>
      <c r="B192" s="264">
        <v>36692</v>
      </c>
      <c r="C192" s="265">
        <v>105.5</v>
      </c>
      <c r="D192" s="265">
        <v>52</v>
      </c>
      <c r="E192" s="265"/>
      <c r="F192" s="1"/>
      <c r="Z192" s="322">
        <v>36720</v>
      </c>
      <c r="AA192" s="323">
        <v>112.5</v>
      </c>
      <c r="AB192" s="323">
        <v>63.5</v>
      </c>
    </row>
    <row r="193" spans="1:28">
      <c r="A193" s="264">
        <v>36699</v>
      </c>
      <c r="B193" s="264">
        <v>36699</v>
      </c>
      <c r="C193" s="265">
        <v>108</v>
      </c>
      <c r="D193" s="265">
        <v>55</v>
      </c>
      <c r="E193" s="265"/>
      <c r="F193" s="1"/>
      <c r="Z193" s="322">
        <v>36727</v>
      </c>
      <c r="AA193" s="323">
        <v>121.5</v>
      </c>
      <c r="AB193" s="323">
        <v>70</v>
      </c>
    </row>
    <row r="194" spans="1:28">
      <c r="A194" s="264">
        <v>36706</v>
      </c>
      <c r="B194" s="264">
        <v>36706</v>
      </c>
      <c r="C194" s="265">
        <v>109.5</v>
      </c>
      <c r="D194" s="265">
        <v>54.5</v>
      </c>
      <c r="E194" s="265"/>
      <c r="F194" s="1"/>
      <c r="Z194" s="322">
        <v>36734</v>
      </c>
      <c r="AA194" s="323">
        <v>132</v>
      </c>
      <c r="AB194" s="323">
        <v>71</v>
      </c>
    </row>
    <row r="195" spans="1:28">
      <c r="A195" s="264">
        <v>36713</v>
      </c>
      <c r="B195" s="264">
        <v>36713</v>
      </c>
      <c r="C195" s="265">
        <v>110.5</v>
      </c>
      <c r="D195" s="265">
        <v>52.5</v>
      </c>
      <c r="E195" s="265"/>
      <c r="F195" s="1"/>
      <c r="Z195" s="322">
        <v>36741</v>
      </c>
      <c r="AA195" s="323">
        <v>134.75</v>
      </c>
      <c r="AB195" s="323">
        <v>72</v>
      </c>
    </row>
    <row r="196" spans="1:28">
      <c r="A196" s="264">
        <v>36720</v>
      </c>
      <c r="B196" s="264">
        <v>36720</v>
      </c>
      <c r="C196" s="265">
        <v>112.5</v>
      </c>
      <c r="D196" s="265">
        <v>58.5</v>
      </c>
      <c r="E196" s="265"/>
      <c r="F196" s="1"/>
      <c r="Z196" s="322">
        <v>36748</v>
      </c>
      <c r="AA196" s="323">
        <v>134.75</v>
      </c>
      <c r="AB196" s="323">
        <v>74.5</v>
      </c>
    </row>
    <row r="197" spans="1:28">
      <c r="A197" s="264">
        <v>36727</v>
      </c>
      <c r="B197" s="264">
        <v>36727</v>
      </c>
      <c r="C197" s="265">
        <v>121.5</v>
      </c>
      <c r="D197" s="265">
        <v>63.5</v>
      </c>
      <c r="E197" s="265"/>
      <c r="F197" s="1"/>
      <c r="Z197" s="322">
        <v>36755</v>
      </c>
      <c r="AA197" s="323">
        <v>130.5</v>
      </c>
      <c r="AB197" s="323">
        <v>80</v>
      </c>
    </row>
    <row r="198" spans="1:28">
      <c r="A198" s="264">
        <v>36734</v>
      </c>
      <c r="B198" s="264">
        <v>36734</v>
      </c>
      <c r="C198" s="265">
        <v>132</v>
      </c>
      <c r="D198" s="265">
        <v>70</v>
      </c>
      <c r="E198" s="265"/>
      <c r="F198" s="1"/>
      <c r="Z198" s="322">
        <v>36762</v>
      </c>
      <c r="AA198" s="323">
        <v>122.5</v>
      </c>
      <c r="AB198" s="323">
        <v>79</v>
      </c>
    </row>
    <row r="199" spans="1:28">
      <c r="A199" s="264">
        <v>36741</v>
      </c>
      <c r="B199" s="264">
        <v>36741</v>
      </c>
      <c r="C199" s="265">
        <v>134.75</v>
      </c>
      <c r="D199" s="265">
        <v>71</v>
      </c>
      <c r="E199" s="265"/>
      <c r="F199" s="1"/>
      <c r="Z199" s="322">
        <v>36769</v>
      </c>
      <c r="AA199" s="323">
        <v>119</v>
      </c>
      <c r="AB199" s="323">
        <v>75.5</v>
      </c>
    </row>
    <row r="200" spans="1:28">
      <c r="A200" s="264">
        <v>36748</v>
      </c>
      <c r="B200" s="264">
        <v>36748</v>
      </c>
      <c r="C200" s="265">
        <v>134.75</v>
      </c>
      <c r="D200" s="265">
        <v>72</v>
      </c>
      <c r="E200" s="265"/>
      <c r="F200" s="1"/>
      <c r="Z200" s="322">
        <v>36776</v>
      </c>
      <c r="AA200" s="323">
        <v>109</v>
      </c>
      <c r="AB200" s="323">
        <v>72.5</v>
      </c>
    </row>
    <row r="201" spans="1:28">
      <c r="A201" s="264">
        <v>36755</v>
      </c>
      <c r="B201" s="264">
        <v>36755</v>
      </c>
      <c r="C201" s="265">
        <v>130.5</v>
      </c>
      <c r="D201" s="265">
        <v>74.5</v>
      </c>
      <c r="E201" s="265"/>
      <c r="F201" s="1"/>
      <c r="Z201" s="322">
        <v>36783</v>
      </c>
      <c r="AA201" s="323">
        <v>106.5</v>
      </c>
      <c r="AB201" s="323">
        <v>71.5</v>
      </c>
    </row>
    <row r="202" spans="1:28">
      <c r="A202" s="264">
        <v>36762</v>
      </c>
      <c r="B202" s="264">
        <v>36762</v>
      </c>
      <c r="C202" s="265">
        <v>122.5</v>
      </c>
      <c r="D202" s="265">
        <v>80</v>
      </c>
      <c r="E202" s="265"/>
      <c r="F202" s="1"/>
      <c r="Z202" s="322">
        <v>36790</v>
      </c>
      <c r="AA202" s="323">
        <v>107</v>
      </c>
      <c r="AB202" s="323">
        <v>71.5</v>
      </c>
    </row>
    <row r="203" spans="1:28">
      <c r="A203" s="264">
        <v>36769</v>
      </c>
      <c r="B203" s="264">
        <v>36769</v>
      </c>
      <c r="C203" s="265">
        <v>119</v>
      </c>
      <c r="D203" s="265">
        <v>79</v>
      </c>
      <c r="E203" s="265"/>
      <c r="F203" s="1"/>
      <c r="Z203" s="322">
        <v>36797</v>
      </c>
      <c r="AA203" s="323">
        <v>113.5</v>
      </c>
      <c r="AB203" s="323">
        <v>66.5</v>
      </c>
    </row>
    <row r="204" spans="1:28">
      <c r="A204" s="264">
        <v>36776</v>
      </c>
      <c r="B204" s="264">
        <v>36776</v>
      </c>
      <c r="C204" s="265">
        <v>109</v>
      </c>
      <c r="D204" s="265">
        <v>75.5</v>
      </c>
      <c r="E204" s="265"/>
      <c r="F204" s="1"/>
      <c r="Z204" s="322">
        <v>36804</v>
      </c>
      <c r="AA204" s="323">
        <v>113.5</v>
      </c>
      <c r="AB204" s="323">
        <v>67.5</v>
      </c>
    </row>
    <row r="205" spans="1:28">
      <c r="A205" s="264">
        <v>36783</v>
      </c>
      <c r="B205" s="264">
        <v>36783</v>
      </c>
      <c r="C205" s="265">
        <v>106.5</v>
      </c>
      <c r="D205" s="265">
        <v>72.5</v>
      </c>
      <c r="E205" s="265"/>
      <c r="F205" s="1"/>
      <c r="Z205" s="322">
        <v>36811</v>
      </c>
      <c r="AA205" s="323">
        <v>114</v>
      </c>
      <c r="AB205" s="323">
        <v>64.5</v>
      </c>
    </row>
    <row r="206" spans="1:28">
      <c r="A206" s="264">
        <v>36790</v>
      </c>
      <c r="B206" s="264">
        <v>36790</v>
      </c>
      <c r="C206" s="265">
        <v>107</v>
      </c>
      <c r="D206" s="265">
        <v>71.5</v>
      </c>
      <c r="E206" s="265"/>
      <c r="F206" s="1"/>
      <c r="Z206" s="322">
        <v>36818</v>
      </c>
      <c r="AA206" s="323">
        <v>113.5</v>
      </c>
      <c r="AB206" s="323">
        <v>63.5</v>
      </c>
    </row>
    <row r="207" spans="1:28">
      <c r="A207" s="264">
        <v>36797</v>
      </c>
      <c r="B207" s="264">
        <v>36797</v>
      </c>
      <c r="C207" s="265">
        <v>113.5</v>
      </c>
      <c r="D207" s="265">
        <v>71.5</v>
      </c>
      <c r="E207" s="265"/>
      <c r="F207" s="1"/>
      <c r="Z207" s="322">
        <v>36825</v>
      </c>
      <c r="AA207" s="323">
        <v>106.5</v>
      </c>
      <c r="AB207" s="323">
        <v>62.5</v>
      </c>
    </row>
    <row r="208" spans="1:28">
      <c r="A208" s="264">
        <v>36804</v>
      </c>
      <c r="B208" s="264">
        <v>36804</v>
      </c>
      <c r="C208" s="265">
        <v>113.5</v>
      </c>
      <c r="D208" s="265">
        <v>66.5</v>
      </c>
      <c r="E208" s="265"/>
      <c r="F208" s="1"/>
      <c r="Z208" s="322">
        <v>36832</v>
      </c>
      <c r="AA208" s="323">
        <v>105.5</v>
      </c>
      <c r="AB208" s="323">
        <v>57.5</v>
      </c>
    </row>
    <row r="209" spans="1:28">
      <c r="A209" s="264">
        <v>36811</v>
      </c>
      <c r="B209" s="264">
        <v>36811</v>
      </c>
      <c r="C209" s="265">
        <v>114</v>
      </c>
      <c r="D209" s="265">
        <v>67.5</v>
      </c>
      <c r="E209" s="265"/>
      <c r="F209" s="1"/>
      <c r="Z209" s="322">
        <v>36839</v>
      </c>
      <c r="AA209" s="323">
        <v>102</v>
      </c>
      <c r="AB209" s="323">
        <v>57.5</v>
      </c>
    </row>
    <row r="210" spans="1:28">
      <c r="A210" s="264">
        <v>36818</v>
      </c>
      <c r="B210" s="264">
        <v>36818</v>
      </c>
      <c r="C210" s="265">
        <v>113.5</v>
      </c>
      <c r="D210" s="265">
        <v>64.5</v>
      </c>
      <c r="E210" s="265"/>
      <c r="F210" s="1"/>
      <c r="Z210" s="322">
        <v>36846</v>
      </c>
      <c r="AA210" s="323">
        <v>101.5</v>
      </c>
      <c r="AB210" s="323">
        <v>57.5</v>
      </c>
    </row>
    <row r="211" spans="1:28">
      <c r="A211" s="264">
        <v>36825</v>
      </c>
      <c r="B211" s="264">
        <v>36825</v>
      </c>
      <c r="C211" s="265">
        <v>106.5</v>
      </c>
      <c r="D211" s="265">
        <v>63.5</v>
      </c>
      <c r="E211" s="265"/>
      <c r="F211" s="1"/>
      <c r="Z211" s="322">
        <v>36853</v>
      </c>
      <c r="AA211" s="323">
        <v>99</v>
      </c>
      <c r="AB211" s="323">
        <v>58</v>
      </c>
    </row>
    <row r="212" spans="1:28">
      <c r="A212" s="264">
        <v>36832</v>
      </c>
      <c r="B212" s="264">
        <v>36832</v>
      </c>
      <c r="C212" s="265">
        <v>105.5</v>
      </c>
      <c r="D212" s="265">
        <v>62.5</v>
      </c>
      <c r="E212" s="265"/>
      <c r="F212" s="1"/>
      <c r="Z212" s="322">
        <v>36860</v>
      </c>
      <c r="AA212" s="323">
        <v>97</v>
      </c>
      <c r="AB212" s="323">
        <v>60</v>
      </c>
    </row>
    <row r="213" spans="1:28">
      <c r="A213" s="264">
        <v>36839</v>
      </c>
      <c r="B213" s="264">
        <v>36839</v>
      </c>
      <c r="C213" s="265">
        <v>102</v>
      </c>
      <c r="D213" s="265">
        <v>57.5</v>
      </c>
      <c r="E213" s="265"/>
      <c r="F213" s="1"/>
      <c r="Z213" s="322">
        <v>36867</v>
      </c>
      <c r="AA213" s="323">
        <v>97</v>
      </c>
      <c r="AB213" s="323">
        <v>63</v>
      </c>
    </row>
    <row r="214" spans="1:28">
      <c r="A214" s="264">
        <v>36846</v>
      </c>
      <c r="B214" s="264">
        <v>36846</v>
      </c>
      <c r="C214" s="265">
        <v>101.5</v>
      </c>
      <c r="D214" s="265">
        <v>57.5</v>
      </c>
      <c r="E214" s="265"/>
      <c r="F214" s="1"/>
      <c r="Z214" s="322">
        <v>36874</v>
      </c>
      <c r="AA214" s="323">
        <v>97</v>
      </c>
      <c r="AB214" s="323">
        <v>76.5</v>
      </c>
    </row>
    <row r="215" spans="1:28">
      <c r="A215" s="264">
        <v>36853</v>
      </c>
      <c r="B215" s="264">
        <v>36853</v>
      </c>
      <c r="C215" s="265">
        <v>99</v>
      </c>
      <c r="D215" s="265">
        <v>57.5</v>
      </c>
      <c r="E215" s="265"/>
      <c r="F215" s="1"/>
      <c r="Z215" s="322">
        <v>36895</v>
      </c>
      <c r="AA215" s="323">
        <v>110</v>
      </c>
      <c r="AB215" s="323">
        <v>82.5</v>
      </c>
    </row>
    <row r="216" spans="1:28">
      <c r="A216" s="264">
        <v>36860</v>
      </c>
      <c r="B216" s="264">
        <v>36860</v>
      </c>
      <c r="C216" s="265">
        <v>97</v>
      </c>
      <c r="D216" s="265">
        <v>58</v>
      </c>
      <c r="E216" s="265"/>
      <c r="F216" s="1"/>
      <c r="Z216" s="322">
        <v>36902</v>
      </c>
      <c r="AA216" s="323">
        <v>117.5</v>
      </c>
      <c r="AB216" s="323">
        <v>100</v>
      </c>
    </row>
    <row r="217" spans="1:28">
      <c r="A217" s="264">
        <v>36867</v>
      </c>
      <c r="B217" s="264">
        <v>36867</v>
      </c>
      <c r="C217" s="265">
        <v>97</v>
      </c>
      <c r="D217" s="265">
        <v>60</v>
      </c>
      <c r="E217" s="265"/>
      <c r="F217" s="1"/>
      <c r="Z217" s="322">
        <v>36909</v>
      </c>
      <c r="AA217" s="323">
        <v>113</v>
      </c>
      <c r="AB217" s="323">
        <v>107.5</v>
      </c>
    </row>
    <row r="218" spans="1:28">
      <c r="A218" s="264">
        <v>36874</v>
      </c>
      <c r="B218" s="264">
        <v>36874</v>
      </c>
      <c r="C218" s="265">
        <v>97</v>
      </c>
      <c r="D218" s="265">
        <v>63</v>
      </c>
      <c r="E218" s="265"/>
      <c r="F218" s="1"/>
      <c r="Z218" s="322">
        <v>36916</v>
      </c>
      <c r="AA218" s="323">
        <v>111.5</v>
      </c>
      <c r="AB218" s="323">
        <v>100</v>
      </c>
    </row>
    <row r="219" spans="1:28">
      <c r="A219" s="264">
        <v>36895</v>
      </c>
      <c r="B219" s="264">
        <v>36895</v>
      </c>
      <c r="C219" s="265">
        <v>110</v>
      </c>
      <c r="D219" s="265">
        <v>76.5</v>
      </c>
      <c r="E219" s="265"/>
      <c r="F219" s="1"/>
      <c r="Z219" s="322">
        <v>36923</v>
      </c>
      <c r="AA219" s="323">
        <v>102.5</v>
      </c>
      <c r="AB219" s="323">
        <v>100</v>
      </c>
    </row>
    <row r="220" spans="1:28">
      <c r="A220" s="264">
        <v>36902</v>
      </c>
      <c r="B220" s="264">
        <v>36902</v>
      </c>
      <c r="C220" s="265">
        <v>117.5</v>
      </c>
      <c r="D220" s="265">
        <v>82.5</v>
      </c>
      <c r="E220" s="265"/>
      <c r="F220" s="1"/>
      <c r="Z220" s="322">
        <v>36930</v>
      </c>
      <c r="AA220" s="323">
        <v>98</v>
      </c>
      <c r="AB220" s="323">
        <v>97.5</v>
      </c>
    </row>
    <row r="221" spans="1:28">
      <c r="A221" s="264">
        <v>36909</v>
      </c>
      <c r="B221" s="264">
        <v>36909</v>
      </c>
      <c r="C221" s="265">
        <v>113</v>
      </c>
      <c r="D221" s="265">
        <v>100</v>
      </c>
      <c r="E221" s="265"/>
      <c r="F221" s="1"/>
      <c r="Z221" s="322">
        <v>36937</v>
      </c>
      <c r="AA221" s="323">
        <v>101.5</v>
      </c>
      <c r="AB221" s="323">
        <v>97.5</v>
      </c>
    </row>
    <row r="222" spans="1:28">
      <c r="A222" s="264">
        <v>36916</v>
      </c>
      <c r="B222" s="264">
        <v>36916</v>
      </c>
      <c r="C222" s="265">
        <v>111.5</v>
      </c>
      <c r="D222" s="265">
        <v>107.5</v>
      </c>
      <c r="E222" s="265"/>
      <c r="F222" s="1"/>
      <c r="Z222" s="322">
        <v>36944</v>
      </c>
      <c r="AA222" s="323">
        <v>98.5</v>
      </c>
      <c r="AB222" s="323">
        <v>97.5</v>
      </c>
    </row>
    <row r="223" spans="1:28">
      <c r="A223" s="264">
        <v>36923</v>
      </c>
      <c r="B223" s="264">
        <v>36923</v>
      </c>
      <c r="C223" s="265">
        <v>102.5</v>
      </c>
      <c r="D223" s="265">
        <v>100</v>
      </c>
      <c r="E223" s="265"/>
      <c r="F223" s="1"/>
      <c r="Z223" s="322">
        <v>36951</v>
      </c>
      <c r="AA223" s="323">
        <v>97</v>
      </c>
      <c r="AB223" s="323">
        <v>97.5</v>
      </c>
    </row>
    <row r="224" spans="1:28">
      <c r="A224" s="264">
        <v>36930</v>
      </c>
      <c r="B224" s="264">
        <v>36930</v>
      </c>
      <c r="C224" s="265">
        <v>98</v>
      </c>
      <c r="D224" s="265">
        <v>100</v>
      </c>
      <c r="E224" s="265"/>
      <c r="F224" s="1"/>
      <c r="Z224" s="322">
        <v>36958</v>
      </c>
      <c r="AA224" s="323">
        <v>94.5</v>
      </c>
      <c r="AB224" s="323">
        <v>97.5</v>
      </c>
    </row>
    <row r="225" spans="1:28">
      <c r="A225" s="264">
        <v>36937</v>
      </c>
      <c r="B225" s="264">
        <v>36937</v>
      </c>
      <c r="C225" s="265">
        <v>101.5</v>
      </c>
      <c r="D225" s="265">
        <v>97.5</v>
      </c>
      <c r="E225" s="265"/>
      <c r="F225" s="1"/>
      <c r="Z225" s="322">
        <v>36965</v>
      </c>
      <c r="AA225" s="323">
        <v>96</v>
      </c>
      <c r="AB225" s="323">
        <v>91.5</v>
      </c>
    </row>
    <row r="226" spans="1:28">
      <c r="A226" s="264">
        <v>36944</v>
      </c>
      <c r="B226" s="264">
        <v>36944</v>
      </c>
      <c r="C226" s="265">
        <v>98.5</v>
      </c>
      <c r="D226" s="265">
        <v>97.5</v>
      </c>
      <c r="E226" s="265"/>
      <c r="F226" s="1"/>
      <c r="Z226" s="322">
        <v>36972</v>
      </c>
      <c r="AA226" s="323">
        <v>94</v>
      </c>
      <c r="AB226" s="323">
        <v>90.5</v>
      </c>
    </row>
    <row r="227" spans="1:28">
      <c r="A227" s="264">
        <v>36951</v>
      </c>
      <c r="B227" s="264">
        <v>36951</v>
      </c>
      <c r="C227" s="265">
        <v>97</v>
      </c>
      <c r="D227" s="265">
        <v>97.5</v>
      </c>
      <c r="E227" s="265"/>
      <c r="F227" s="1"/>
      <c r="H227" s="2"/>
      <c r="I227" s="2"/>
      <c r="J227" s="2"/>
      <c r="K227" s="2"/>
      <c r="L227" s="2"/>
      <c r="M227" s="2"/>
      <c r="N227" s="2"/>
      <c r="O227" s="2"/>
      <c r="P227" s="2"/>
      <c r="Z227" s="322">
        <v>36979</v>
      </c>
      <c r="AA227" s="323">
        <v>94</v>
      </c>
      <c r="AB227" s="323">
        <v>82.5</v>
      </c>
    </row>
    <row r="228" spans="1:28" ht="15.75">
      <c r="A228" s="264">
        <v>36958</v>
      </c>
      <c r="B228" s="264">
        <v>36958</v>
      </c>
      <c r="C228" s="265">
        <v>94.5</v>
      </c>
      <c r="D228" s="265">
        <v>97.5</v>
      </c>
      <c r="E228" s="265"/>
      <c r="F228" s="1"/>
      <c r="H228" s="354"/>
      <c r="I228" s="355"/>
      <c r="J228" s="356"/>
      <c r="K228" s="356"/>
      <c r="L228" s="356"/>
      <c r="M228" s="356"/>
      <c r="N228" s="356"/>
      <c r="O228" s="356"/>
      <c r="P228" s="2"/>
      <c r="Z228" s="322">
        <v>36986</v>
      </c>
      <c r="AA228" s="323">
        <v>91.5</v>
      </c>
      <c r="AB228" s="323">
        <v>79</v>
      </c>
    </row>
    <row r="229" spans="1:28" ht="15.75">
      <c r="A229" s="264">
        <v>36965</v>
      </c>
      <c r="B229" s="264">
        <v>36965</v>
      </c>
      <c r="C229" s="265">
        <v>96</v>
      </c>
      <c r="D229" s="265">
        <v>97.5</v>
      </c>
      <c r="E229" s="265"/>
      <c r="F229" s="1"/>
      <c r="H229" s="354"/>
      <c r="I229" s="357"/>
      <c r="J229" s="357"/>
      <c r="K229" s="357"/>
      <c r="L229" s="357"/>
      <c r="M229" s="357"/>
      <c r="N229" s="357"/>
      <c r="O229" s="357"/>
      <c r="P229" s="2"/>
      <c r="Z229" s="322">
        <v>37000</v>
      </c>
      <c r="AA229" s="323">
        <v>83.5</v>
      </c>
      <c r="AB229" s="323">
        <v>76</v>
      </c>
    </row>
    <row r="230" spans="1:28" ht="15.75">
      <c r="A230" s="264">
        <v>36972</v>
      </c>
      <c r="B230" s="264">
        <v>36972</v>
      </c>
      <c r="C230" s="265">
        <v>94</v>
      </c>
      <c r="D230" s="265">
        <v>91.5</v>
      </c>
      <c r="E230" s="265"/>
      <c r="F230" s="1"/>
      <c r="H230" s="358"/>
      <c r="I230" s="359"/>
      <c r="J230" s="359"/>
      <c r="K230" s="359"/>
      <c r="L230" s="359"/>
      <c r="M230" s="359"/>
      <c r="N230" s="359"/>
      <c r="O230" s="359"/>
      <c r="P230" s="2"/>
      <c r="Z230" s="322">
        <v>37007</v>
      </c>
      <c r="AA230" s="323">
        <v>75.5</v>
      </c>
      <c r="AB230" s="323">
        <v>76</v>
      </c>
    </row>
    <row r="231" spans="1:28" ht="15.75">
      <c r="A231" s="264">
        <v>36979</v>
      </c>
      <c r="B231" s="264">
        <v>36979</v>
      </c>
      <c r="C231" s="265">
        <v>94</v>
      </c>
      <c r="D231" s="265">
        <v>90.5</v>
      </c>
      <c r="E231" s="265"/>
      <c r="F231" s="1"/>
      <c r="H231" s="360"/>
      <c r="I231" s="359"/>
      <c r="J231" s="359"/>
      <c r="K231" s="359"/>
      <c r="L231" s="361"/>
      <c r="M231" s="361"/>
      <c r="N231" s="361"/>
      <c r="O231" s="361"/>
      <c r="P231" s="2"/>
      <c r="Z231" s="322">
        <v>37014</v>
      </c>
      <c r="AA231" s="323">
        <v>73.5</v>
      </c>
      <c r="AB231" s="323">
        <v>61</v>
      </c>
    </row>
    <row r="232" spans="1:28" ht="15.75">
      <c r="A232" s="264">
        <v>36986</v>
      </c>
      <c r="B232" s="264">
        <v>36986</v>
      </c>
      <c r="C232" s="265">
        <v>91.5</v>
      </c>
      <c r="D232" s="265">
        <v>82.5</v>
      </c>
      <c r="E232" s="265"/>
      <c r="F232" s="1"/>
      <c r="H232" s="360"/>
      <c r="I232" s="362"/>
      <c r="J232" s="359"/>
      <c r="K232" s="361"/>
      <c r="L232" s="359"/>
      <c r="M232" s="359"/>
      <c r="N232" s="359"/>
      <c r="O232" s="359"/>
      <c r="P232" s="2"/>
      <c r="Z232" s="322">
        <v>37021</v>
      </c>
      <c r="AA232" s="323">
        <v>74</v>
      </c>
      <c r="AB232" s="323">
        <v>60.5</v>
      </c>
    </row>
    <row r="233" spans="1:28" ht="15.75">
      <c r="A233" s="264">
        <v>37000</v>
      </c>
      <c r="B233" s="264">
        <v>37000</v>
      </c>
      <c r="C233" s="265">
        <v>83.5</v>
      </c>
      <c r="D233" s="265">
        <v>79</v>
      </c>
      <c r="E233" s="265"/>
      <c r="F233" s="1"/>
      <c r="H233" s="360"/>
      <c r="I233" s="362"/>
      <c r="J233" s="361"/>
      <c r="K233" s="361"/>
      <c r="L233" s="361"/>
      <c r="M233" s="361"/>
      <c r="N233" s="361"/>
      <c r="O233" s="361"/>
      <c r="P233" s="2"/>
      <c r="Z233" s="322">
        <v>37028</v>
      </c>
      <c r="AA233" s="323">
        <v>78</v>
      </c>
      <c r="AB233" s="323">
        <v>60.5</v>
      </c>
    </row>
    <row r="234" spans="1:28" ht="15.75">
      <c r="A234" s="264">
        <v>37007</v>
      </c>
      <c r="B234" s="264">
        <v>37007</v>
      </c>
      <c r="C234" s="265">
        <v>75.5</v>
      </c>
      <c r="D234" s="265">
        <v>76</v>
      </c>
      <c r="E234" s="265"/>
      <c r="F234" s="1"/>
      <c r="H234" s="360"/>
      <c r="I234" s="359"/>
      <c r="J234" s="359"/>
      <c r="K234" s="359"/>
      <c r="L234" s="359"/>
      <c r="M234" s="359"/>
      <c r="N234" s="359"/>
      <c r="O234" s="359"/>
      <c r="P234" s="2"/>
      <c r="Z234" s="322">
        <v>37035</v>
      </c>
      <c r="AA234" s="323">
        <v>80.5</v>
      </c>
      <c r="AB234" s="323">
        <v>50</v>
      </c>
    </row>
    <row r="235" spans="1:28" ht="15.75">
      <c r="A235" s="264">
        <v>37014</v>
      </c>
      <c r="B235" s="264">
        <v>37014</v>
      </c>
      <c r="C235" s="265">
        <v>73.5</v>
      </c>
      <c r="D235" s="265">
        <v>76</v>
      </c>
      <c r="E235" s="265"/>
      <c r="F235" s="1"/>
      <c r="H235" s="360"/>
      <c r="I235" s="359"/>
      <c r="J235" s="359"/>
      <c r="K235" s="359"/>
      <c r="L235" s="359"/>
      <c r="M235" s="359"/>
      <c r="N235" s="359"/>
      <c r="O235" s="359"/>
      <c r="P235" s="2"/>
      <c r="Z235" s="322">
        <v>37042</v>
      </c>
      <c r="AA235" s="323">
        <v>84</v>
      </c>
      <c r="AB235" s="323">
        <v>50</v>
      </c>
    </row>
    <row r="236" spans="1:28" ht="15.75">
      <c r="A236" s="264">
        <v>37021</v>
      </c>
      <c r="B236" s="264">
        <v>37021</v>
      </c>
      <c r="C236" s="265">
        <v>74</v>
      </c>
      <c r="D236" s="265">
        <v>61</v>
      </c>
      <c r="E236" s="265"/>
      <c r="F236" s="1"/>
      <c r="H236" s="360"/>
      <c r="I236" s="359"/>
      <c r="J236" s="359"/>
      <c r="K236" s="359"/>
      <c r="L236" s="359"/>
      <c r="M236" s="359"/>
      <c r="N236" s="359"/>
      <c r="O236" s="359"/>
      <c r="P236" s="2"/>
      <c r="Z236" s="322">
        <v>37049</v>
      </c>
      <c r="AA236" s="323">
        <v>84</v>
      </c>
      <c r="AB236" s="323">
        <v>48</v>
      </c>
    </row>
    <row r="237" spans="1:28" ht="15.75">
      <c r="A237" s="264">
        <v>37028</v>
      </c>
      <c r="B237" s="264">
        <v>37028</v>
      </c>
      <c r="C237" s="265">
        <v>78</v>
      </c>
      <c r="D237" s="265">
        <v>60.5</v>
      </c>
      <c r="E237" s="265"/>
      <c r="F237" s="1"/>
      <c r="H237" s="360"/>
      <c r="I237" s="359"/>
      <c r="J237" s="359"/>
      <c r="K237" s="359"/>
      <c r="L237" s="359"/>
      <c r="M237" s="359"/>
      <c r="N237" s="359"/>
      <c r="O237" s="359"/>
      <c r="P237" s="2"/>
      <c r="Z237" s="322">
        <v>37056</v>
      </c>
      <c r="AA237" s="323">
        <v>84</v>
      </c>
      <c r="AB237" s="323">
        <v>48</v>
      </c>
    </row>
    <row r="238" spans="1:28" ht="15.75">
      <c r="A238" s="264">
        <v>37035</v>
      </c>
      <c r="B238" s="264">
        <v>37035</v>
      </c>
      <c r="C238" s="265">
        <v>80.5</v>
      </c>
      <c r="D238" s="265">
        <v>60.5</v>
      </c>
      <c r="E238" s="265"/>
      <c r="F238" s="1"/>
      <c r="H238" s="358"/>
      <c r="I238" s="359"/>
      <c r="J238" s="359"/>
      <c r="K238" s="359"/>
      <c r="L238" s="359"/>
      <c r="M238" s="359"/>
      <c r="N238" s="359"/>
      <c r="O238" s="359"/>
      <c r="P238" s="2"/>
      <c r="Z238" s="322">
        <v>37063</v>
      </c>
      <c r="AA238" s="323">
        <v>82</v>
      </c>
      <c r="AB238" s="323">
        <v>55</v>
      </c>
    </row>
    <row r="239" spans="1:28" ht="15.75">
      <c r="A239" s="264">
        <v>37042</v>
      </c>
      <c r="B239" s="264">
        <v>37042</v>
      </c>
      <c r="C239" s="265">
        <v>84</v>
      </c>
      <c r="D239" s="265">
        <v>50</v>
      </c>
      <c r="E239" s="265"/>
      <c r="F239" s="1"/>
      <c r="H239" s="360"/>
      <c r="I239" s="359"/>
      <c r="J239" s="359"/>
      <c r="K239" s="361"/>
      <c r="L239" s="361"/>
      <c r="M239" s="361"/>
      <c r="N239" s="361"/>
      <c r="O239" s="361"/>
      <c r="P239" s="2"/>
      <c r="Z239" s="322">
        <v>37070</v>
      </c>
      <c r="AA239" s="323">
        <v>84</v>
      </c>
      <c r="AB239" s="323">
        <v>55.5</v>
      </c>
    </row>
    <row r="240" spans="1:28" ht="15.75">
      <c r="A240" s="264">
        <v>37049</v>
      </c>
      <c r="B240" s="264">
        <v>37049</v>
      </c>
      <c r="C240" s="265">
        <v>84</v>
      </c>
      <c r="D240" s="265">
        <v>50</v>
      </c>
      <c r="E240" s="265"/>
      <c r="F240" s="1"/>
      <c r="H240" s="360"/>
      <c r="I240" s="362"/>
      <c r="J240" s="361"/>
      <c r="K240" s="361"/>
      <c r="L240" s="361"/>
      <c r="M240" s="361"/>
      <c r="N240" s="361"/>
      <c r="O240" s="361"/>
      <c r="P240" s="2"/>
      <c r="Z240" s="322">
        <v>37077</v>
      </c>
      <c r="AA240" s="323">
        <v>84</v>
      </c>
      <c r="AB240" s="323">
        <v>57</v>
      </c>
    </row>
    <row r="241" spans="1:28" ht="15.75">
      <c r="A241" s="264">
        <v>37056</v>
      </c>
      <c r="B241" s="264">
        <v>37056</v>
      </c>
      <c r="C241" s="265">
        <v>84</v>
      </c>
      <c r="D241" s="265">
        <v>48</v>
      </c>
      <c r="E241" s="265"/>
      <c r="F241" s="1"/>
      <c r="H241" s="360"/>
      <c r="I241" s="359"/>
      <c r="J241" s="359"/>
      <c r="K241" s="359"/>
      <c r="L241" s="359"/>
      <c r="M241" s="359"/>
      <c r="N241" s="359"/>
      <c r="O241" s="359"/>
      <c r="P241" s="2"/>
      <c r="Z241" s="322">
        <v>37084</v>
      </c>
      <c r="AA241" s="323">
        <v>87.75</v>
      </c>
      <c r="AB241" s="323">
        <v>57</v>
      </c>
    </row>
    <row r="242" spans="1:28">
      <c r="A242" s="264">
        <v>37063</v>
      </c>
      <c r="B242" s="264">
        <v>37063</v>
      </c>
      <c r="C242" s="265">
        <v>82</v>
      </c>
      <c r="D242" s="265">
        <v>48</v>
      </c>
      <c r="E242" s="265"/>
      <c r="F242" s="1"/>
      <c r="H242" s="2"/>
      <c r="I242" s="2"/>
      <c r="J242" s="2"/>
      <c r="K242" s="2"/>
      <c r="L242" s="2"/>
      <c r="M242" s="2"/>
      <c r="N242" s="2"/>
      <c r="O242" s="2"/>
      <c r="P242" s="2"/>
      <c r="Z242" s="322">
        <v>37091</v>
      </c>
      <c r="AA242" s="323">
        <v>87.75</v>
      </c>
      <c r="AB242" s="323">
        <v>60</v>
      </c>
    </row>
    <row r="243" spans="1:28">
      <c r="A243" s="264">
        <v>37070</v>
      </c>
      <c r="B243" s="264">
        <v>37070</v>
      </c>
      <c r="C243" s="265">
        <v>84</v>
      </c>
      <c r="D243" s="265">
        <v>55</v>
      </c>
      <c r="E243" s="265"/>
      <c r="F243" s="1"/>
      <c r="Z243" s="322">
        <v>37098</v>
      </c>
      <c r="AA243" s="323">
        <v>89</v>
      </c>
      <c r="AB243" s="323">
        <v>60</v>
      </c>
    </row>
    <row r="244" spans="1:28">
      <c r="A244" s="264">
        <v>37077</v>
      </c>
      <c r="B244" s="264">
        <v>37077</v>
      </c>
      <c r="C244" s="265">
        <v>84</v>
      </c>
      <c r="D244" s="265">
        <v>55.5</v>
      </c>
      <c r="E244" s="265"/>
      <c r="F244" s="1"/>
      <c r="Z244" s="322">
        <v>37105</v>
      </c>
      <c r="AA244" s="323">
        <v>90.5</v>
      </c>
      <c r="AB244" s="323">
        <v>58.5</v>
      </c>
    </row>
    <row r="245" spans="1:28">
      <c r="A245" s="264">
        <v>37084</v>
      </c>
      <c r="B245" s="264">
        <v>37084</v>
      </c>
      <c r="C245" s="265">
        <v>87.75</v>
      </c>
      <c r="D245" s="265">
        <v>57</v>
      </c>
      <c r="E245" s="265"/>
      <c r="F245" s="1"/>
      <c r="Z245" s="322">
        <v>37112</v>
      </c>
      <c r="AA245" s="323">
        <v>89.5</v>
      </c>
      <c r="AB245" s="323">
        <v>58.5</v>
      </c>
    </row>
    <row r="246" spans="1:28">
      <c r="A246" s="264">
        <v>37091</v>
      </c>
      <c r="B246" s="264">
        <v>37091</v>
      </c>
      <c r="C246" s="266">
        <v>87.75</v>
      </c>
      <c r="D246" s="266">
        <v>57</v>
      </c>
      <c r="E246" s="266"/>
      <c r="F246" s="1"/>
      <c r="Z246" s="322">
        <v>37119</v>
      </c>
      <c r="AA246" s="323">
        <v>87.5</v>
      </c>
      <c r="AB246" s="323">
        <v>58.5</v>
      </c>
    </row>
    <row r="247" spans="1:28">
      <c r="A247" s="264">
        <v>37098</v>
      </c>
      <c r="B247" s="264">
        <v>37098</v>
      </c>
      <c r="C247" s="266">
        <v>89</v>
      </c>
      <c r="D247" s="266">
        <v>60</v>
      </c>
      <c r="E247" s="266"/>
      <c r="F247" s="1"/>
      <c r="Z247" s="322">
        <v>37126</v>
      </c>
      <c r="AA247" s="323" t="s">
        <v>273</v>
      </c>
      <c r="AB247" s="323">
        <v>56.5</v>
      </c>
    </row>
    <row r="248" spans="1:28">
      <c r="A248" s="264">
        <v>37105</v>
      </c>
      <c r="B248" s="264">
        <v>37105</v>
      </c>
      <c r="C248" s="266">
        <v>90.5</v>
      </c>
      <c r="D248" s="266">
        <v>60</v>
      </c>
      <c r="E248" s="266"/>
      <c r="F248" s="1"/>
      <c r="Z248" s="322">
        <v>37133</v>
      </c>
      <c r="AA248" s="323">
        <v>87.5</v>
      </c>
      <c r="AB248" s="323">
        <v>0</v>
      </c>
    </row>
    <row r="249" spans="1:28">
      <c r="A249" s="264">
        <v>37112</v>
      </c>
      <c r="B249" s="264">
        <v>37112</v>
      </c>
      <c r="C249" s="266">
        <v>89.5</v>
      </c>
      <c r="D249" s="266">
        <v>58.5</v>
      </c>
      <c r="E249" s="266"/>
      <c r="F249" s="1"/>
      <c r="Z249" s="322">
        <v>37140</v>
      </c>
      <c r="AA249" s="323" t="s">
        <v>273</v>
      </c>
      <c r="AB249" s="323">
        <v>56.5</v>
      </c>
    </row>
    <row r="250" spans="1:28">
      <c r="A250" s="264">
        <v>37119</v>
      </c>
      <c r="B250" s="264">
        <v>37119</v>
      </c>
      <c r="C250" s="266">
        <v>87.5</v>
      </c>
      <c r="D250" s="266">
        <v>58.5</v>
      </c>
      <c r="E250" s="266"/>
      <c r="F250" s="1"/>
      <c r="Z250" s="322">
        <v>37147</v>
      </c>
      <c r="AA250" s="323">
        <v>86.5</v>
      </c>
      <c r="AB250" s="323">
        <v>52</v>
      </c>
    </row>
    <row r="251" spans="1:28">
      <c r="A251" s="264">
        <v>37126</v>
      </c>
      <c r="B251" s="264">
        <v>37126</v>
      </c>
      <c r="C251" s="266">
        <v>88</v>
      </c>
      <c r="D251" s="266">
        <v>58.5</v>
      </c>
      <c r="E251" s="266"/>
      <c r="F251" s="1"/>
      <c r="Z251" s="322">
        <v>37154</v>
      </c>
      <c r="AA251" s="323">
        <v>89.5</v>
      </c>
      <c r="AB251" s="323">
        <v>57</v>
      </c>
    </row>
    <row r="252" spans="1:28">
      <c r="A252" s="264">
        <v>37133</v>
      </c>
      <c r="B252" s="264">
        <v>37133</v>
      </c>
      <c r="C252" s="266">
        <v>87.5</v>
      </c>
      <c r="D252" s="266">
        <v>56.5</v>
      </c>
      <c r="E252" s="266"/>
      <c r="F252" s="1"/>
      <c r="Z252" s="322">
        <v>37161</v>
      </c>
      <c r="AA252" s="323">
        <v>92</v>
      </c>
      <c r="AB252" s="323">
        <v>59.5</v>
      </c>
    </row>
    <row r="253" spans="1:28">
      <c r="A253" s="264">
        <v>37140</v>
      </c>
      <c r="B253" s="264">
        <v>37140</v>
      </c>
      <c r="C253" s="266">
        <v>88</v>
      </c>
      <c r="D253" s="266">
        <v>57</v>
      </c>
      <c r="E253" s="266"/>
      <c r="F253" s="1"/>
      <c r="Z253" s="322">
        <v>37168</v>
      </c>
      <c r="AA253" s="323">
        <v>94</v>
      </c>
      <c r="AB253" s="323">
        <v>62</v>
      </c>
    </row>
    <row r="254" spans="1:28">
      <c r="A254" s="264">
        <v>37147</v>
      </c>
      <c r="B254" s="264">
        <v>37147</v>
      </c>
      <c r="C254" s="266">
        <v>86.5</v>
      </c>
      <c r="D254" s="266">
        <v>56.5</v>
      </c>
      <c r="E254" s="266"/>
      <c r="F254" s="1"/>
      <c r="Z254" s="322">
        <v>37175</v>
      </c>
      <c r="AA254" s="323">
        <v>95</v>
      </c>
      <c r="AB254" s="323">
        <v>59</v>
      </c>
    </row>
    <row r="255" spans="1:28">
      <c r="A255" s="264">
        <v>37154</v>
      </c>
      <c r="B255" s="264">
        <v>37154</v>
      </c>
      <c r="C255" s="266">
        <v>89.5</v>
      </c>
      <c r="D255" s="266">
        <v>52</v>
      </c>
      <c r="E255" s="266"/>
      <c r="F255" s="1"/>
      <c r="Z255" s="322">
        <v>37182</v>
      </c>
      <c r="AA255" s="323">
        <v>95.5</v>
      </c>
      <c r="AB255" s="323">
        <v>59</v>
      </c>
    </row>
    <row r="256" spans="1:28">
      <c r="A256" s="264">
        <v>37161</v>
      </c>
      <c r="B256" s="264">
        <v>37161</v>
      </c>
      <c r="C256" s="266">
        <v>92</v>
      </c>
      <c r="D256" s="266">
        <v>57</v>
      </c>
      <c r="E256" s="266"/>
      <c r="F256" s="1"/>
      <c r="Z256" s="322">
        <v>37189</v>
      </c>
      <c r="AA256" s="323">
        <v>93</v>
      </c>
      <c r="AB256" s="323">
        <v>58</v>
      </c>
    </row>
    <row r="257" spans="1:28">
      <c r="A257" s="264">
        <v>37168</v>
      </c>
      <c r="B257" s="264">
        <v>37168</v>
      </c>
      <c r="C257" s="266">
        <v>94</v>
      </c>
      <c r="D257" s="266">
        <v>59.5</v>
      </c>
      <c r="E257" s="266"/>
      <c r="F257" s="1"/>
      <c r="Z257" s="322">
        <v>37196</v>
      </c>
      <c r="AA257" s="323">
        <v>91.5</v>
      </c>
      <c r="AB257" s="323">
        <v>60</v>
      </c>
    </row>
    <row r="258" spans="1:28">
      <c r="A258" s="264">
        <v>37175</v>
      </c>
      <c r="B258" s="264">
        <v>37175</v>
      </c>
      <c r="C258" s="266">
        <v>95</v>
      </c>
      <c r="D258" s="266">
        <v>62</v>
      </c>
      <c r="E258" s="266"/>
      <c r="F258" s="1"/>
      <c r="Z258" s="322">
        <v>37203</v>
      </c>
      <c r="AA258" s="323">
        <v>93.5</v>
      </c>
      <c r="AB258" s="323">
        <v>61.5</v>
      </c>
    </row>
    <row r="259" spans="1:28">
      <c r="A259" s="264">
        <v>37182</v>
      </c>
      <c r="B259" s="264">
        <v>37182</v>
      </c>
      <c r="C259" s="266">
        <v>95.5</v>
      </c>
      <c r="D259" s="266">
        <v>59</v>
      </c>
      <c r="E259" s="266"/>
      <c r="F259" s="1"/>
      <c r="Z259" s="322">
        <v>37210</v>
      </c>
      <c r="AA259" s="323">
        <v>96</v>
      </c>
      <c r="AB259" s="323">
        <v>62</v>
      </c>
    </row>
    <row r="260" spans="1:28">
      <c r="A260" s="264">
        <v>37189</v>
      </c>
      <c r="B260" s="264">
        <v>37189</v>
      </c>
      <c r="C260" s="266">
        <v>93</v>
      </c>
      <c r="D260" s="266">
        <v>59</v>
      </c>
      <c r="E260" s="266"/>
      <c r="F260" s="1"/>
      <c r="Z260" s="322">
        <v>37217</v>
      </c>
      <c r="AA260" s="323">
        <v>96</v>
      </c>
      <c r="AB260" s="323">
        <v>62</v>
      </c>
    </row>
    <row r="261" spans="1:28">
      <c r="A261" s="264">
        <v>37196</v>
      </c>
      <c r="B261" s="264">
        <v>37196</v>
      </c>
      <c r="C261" s="266">
        <v>91.5</v>
      </c>
      <c r="D261" s="266">
        <v>58</v>
      </c>
      <c r="E261" s="266"/>
      <c r="F261" s="1"/>
      <c r="Z261" s="322">
        <v>37224</v>
      </c>
      <c r="AA261" s="323">
        <v>100.5</v>
      </c>
      <c r="AB261" s="323">
        <v>64.5</v>
      </c>
    </row>
    <row r="262" spans="1:28">
      <c r="A262" s="264">
        <v>37203</v>
      </c>
      <c r="B262" s="264">
        <v>37203</v>
      </c>
      <c r="C262" s="266">
        <v>93.5</v>
      </c>
      <c r="D262" s="266">
        <v>60</v>
      </c>
      <c r="E262" s="266"/>
      <c r="F262" s="1"/>
      <c r="Z262" s="322">
        <v>37231</v>
      </c>
      <c r="AA262" s="323">
        <v>100.5</v>
      </c>
      <c r="AB262" s="323">
        <v>67</v>
      </c>
    </row>
    <row r="263" spans="1:28">
      <c r="A263" s="264">
        <v>37210</v>
      </c>
      <c r="B263" s="264">
        <v>37210</v>
      </c>
      <c r="C263" s="266">
        <v>96</v>
      </c>
      <c r="D263" s="266">
        <v>61.5</v>
      </c>
      <c r="E263" s="266"/>
      <c r="F263" s="1"/>
      <c r="Z263" s="322">
        <v>37238</v>
      </c>
      <c r="AA263" s="323">
        <v>100.5</v>
      </c>
      <c r="AB263" s="323">
        <v>67</v>
      </c>
    </row>
    <row r="264" spans="1:28">
      <c r="A264" s="264">
        <v>37217</v>
      </c>
      <c r="B264" s="264">
        <v>37217</v>
      </c>
      <c r="C264" s="266">
        <v>96</v>
      </c>
      <c r="D264" s="266">
        <v>62</v>
      </c>
      <c r="E264" s="266"/>
      <c r="F264" s="1"/>
      <c r="Z264" s="322">
        <v>37245</v>
      </c>
      <c r="AA264" s="323" t="s">
        <v>273</v>
      </c>
      <c r="AB264" s="323">
        <v>67</v>
      </c>
    </row>
    <row r="265" spans="1:28">
      <c r="A265" s="264">
        <v>37224</v>
      </c>
      <c r="B265" s="264">
        <v>37224</v>
      </c>
      <c r="C265" s="266">
        <v>100.5</v>
      </c>
      <c r="D265" s="266">
        <v>62</v>
      </c>
      <c r="E265" s="266"/>
      <c r="F265" s="1"/>
      <c r="Z265" s="322">
        <v>37259</v>
      </c>
      <c r="AA265" s="323">
        <v>103</v>
      </c>
      <c r="AB265" s="323">
        <v>83</v>
      </c>
    </row>
    <row r="266" spans="1:28">
      <c r="A266" s="264">
        <v>37231</v>
      </c>
      <c r="B266" s="264">
        <v>37231</v>
      </c>
      <c r="C266" s="266">
        <v>100.5</v>
      </c>
      <c r="D266" s="266">
        <v>64.5</v>
      </c>
      <c r="E266" s="266"/>
      <c r="F266" s="1"/>
      <c r="Z266" s="322">
        <v>37266</v>
      </c>
      <c r="AA266" s="323">
        <v>103</v>
      </c>
      <c r="AB266" s="323">
        <v>83</v>
      </c>
    </row>
    <row r="267" spans="1:28">
      <c r="A267" s="264">
        <v>37238</v>
      </c>
      <c r="B267" s="264">
        <v>37238</v>
      </c>
      <c r="C267" s="266">
        <v>100.5</v>
      </c>
      <c r="D267" s="266">
        <v>67</v>
      </c>
      <c r="E267" s="266"/>
      <c r="F267" s="1"/>
      <c r="Z267" s="322">
        <v>37273</v>
      </c>
      <c r="AA267" s="323">
        <v>103</v>
      </c>
      <c r="AB267" s="323">
        <v>83</v>
      </c>
    </row>
    <row r="268" spans="1:28">
      <c r="A268" s="264">
        <v>37245</v>
      </c>
      <c r="B268" s="264">
        <v>37245</v>
      </c>
      <c r="C268" s="266">
        <v>101</v>
      </c>
      <c r="D268" s="266">
        <v>67</v>
      </c>
      <c r="E268" s="266"/>
      <c r="F268" s="1"/>
      <c r="Z268" s="322">
        <v>37280</v>
      </c>
      <c r="AA268" s="323">
        <v>94</v>
      </c>
      <c r="AB268" s="323">
        <v>79</v>
      </c>
    </row>
    <row r="269" spans="1:28">
      <c r="A269" s="264">
        <v>37259</v>
      </c>
      <c r="B269" s="264">
        <v>37259</v>
      </c>
      <c r="C269" s="266">
        <v>103</v>
      </c>
      <c r="D269" s="266">
        <v>67</v>
      </c>
      <c r="E269" s="266"/>
      <c r="F269" s="1"/>
      <c r="Z269" s="322">
        <v>37287</v>
      </c>
      <c r="AA269" s="323">
        <v>94</v>
      </c>
      <c r="AB269" s="323">
        <v>77.5</v>
      </c>
    </row>
    <row r="270" spans="1:28">
      <c r="A270" s="264">
        <v>37266</v>
      </c>
      <c r="B270" s="264">
        <v>37266</v>
      </c>
      <c r="C270" s="266">
        <v>103</v>
      </c>
      <c r="D270" s="266">
        <v>83</v>
      </c>
      <c r="E270" s="266"/>
      <c r="F270" s="1"/>
      <c r="Z270" s="322">
        <v>37294</v>
      </c>
      <c r="AA270" s="323">
        <v>92</v>
      </c>
      <c r="AB270" s="323">
        <v>77.5</v>
      </c>
    </row>
    <row r="271" spans="1:28">
      <c r="A271" s="264">
        <v>37273</v>
      </c>
      <c r="B271" s="264">
        <v>37273</v>
      </c>
      <c r="C271" s="266">
        <v>103</v>
      </c>
      <c r="D271" s="266">
        <v>83</v>
      </c>
      <c r="E271" s="266"/>
      <c r="F271" s="1"/>
      <c r="Z271" s="322">
        <v>37301</v>
      </c>
      <c r="AA271" s="323">
        <v>90.5</v>
      </c>
      <c r="AB271" s="323">
        <v>77.5</v>
      </c>
    </row>
    <row r="272" spans="1:28">
      <c r="A272" s="264">
        <v>37280</v>
      </c>
      <c r="B272" s="264">
        <v>37280</v>
      </c>
      <c r="C272" s="266">
        <v>94</v>
      </c>
      <c r="D272" s="266">
        <v>83</v>
      </c>
      <c r="E272" s="266"/>
      <c r="F272" s="1"/>
      <c r="Z272" s="322">
        <v>37308</v>
      </c>
      <c r="AA272" s="323">
        <v>89</v>
      </c>
      <c r="AB272" s="323">
        <v>77.5</v>
      </c>
    </row>
    <row r="273" spans="1:28">
      <c r="A273" s="264">
        <v>37287</v>
      </c>
      <c r="B273" s="264">
        <v>37287</v>
      </c>
      <c r="C273" s="266">
        <v>94</v>
      </c>
      <c r="D273" s="266">
        <v>79</v>
      </c>
      <c r="E273" s="266"/>
      <c r="F273" s="1"/>
      <c r="Z273" s="322">
        <v>37315</v>
      </c>
      <c r="AA273" s="323">
        <v>89</v>
      </c>
      <c r="AB273" s="323">
        <v>77.5</v>
      </c>
    </row>
    <row r="274" spans="1:28">
      <c r="A274" s="264">
        <v>37294</v>
      </c>
      <c r="B274" s="264">
        <v>37294</v>
      </c>
      <c r="C274" s="266">
        <v>92</v>
      </c>
      <c r="D274" s="266">
        <v>77.5</v>
      </c>
      <c r="E274" s="266"/>
      <c r="F274" s="1"/>
      <c r="Z274" s="322">
        <v>37322</v>
      </c>
      <c r="AA274" s="323">
        <v>89</v>
      </c>
      <c r="AB274" s="323">
        <v>76</v>
      </c>
    </row>
    <row r="275" spans="1:28">
      <c r="A275" s="264">
        <v>37301</v>
      </c>
      <c r="B275" s="264">
        <v>37301</v>
      </c>
      <c r="C275" s="266">
        <v>90.5</v>
      </c>
      <c r="D275" s="266">
        <v>77.5</v>
      </c>
      <c r="E275" s="266"/>
      <c r="F275" s="1"/>
      <c r="Z275" s="322">
        <v>37329</v>
      </c>
      <c r="AA275" s="323">
        <v>88.5</v>
      </c>
      <c r="AB275" s="323">
        <v>75.5</v>
      </c>
    </row>
    <row r="276" spans="1:28">
      <c r="A276" s="264">
        <v>37308</v>
      </c>
      <c r="B276" s="264">
        <v>37308</v>
      </c>
      <c r="C276" s="266">
        <v>89</v>
      </c>
      <c r="D276" s="266">
        <v>77.5</v>
      </c>
      <c r="E276" s="266"/>
      <c r="F276" s="1"/>
      <c r="Z276" s="322">
        <v>37336</v>
      </c>
      <c r="AA276" s="323">
        <v>85.5</v>
      </c>
      <c r="AB276" s="323">
        <v>75.5</v>
      </c>
    </row>
    <row r="277" spans="1:28">
      <c r="A277" s="264">
        <v>37315</v>
      </c>
      <c r="B277" s="264">
        <v>37315</v>
      </c>
      <c r="C277" s="266">
        <v>89</v>
      </c>
      <c r="D277" s="266">
        <v>77.5</v>
      </c>
      <c r="E277" s="266"/>
      <c r="F277" s="1"/>
      <c r="Z277" s="322">
        <v>37343</v>
      </c>
      <c r="AA277" s="323" t="s">
        <v>273</v>
      </c>
      <c r="AB277" s="323">
        <v>66</v>
      </c>
    </row>
    <row r="278" spans="1:28">
      <c r="A278" s="264">
        <v>37322</v>
      </c>
      <c r="B278" s="264">
        <v>37322</v>
      </c>
      <c r="C278" s="266">
        <v>89</v>
      </c>
      <c r="D278" s="266">
        <v>77.5</v>
      </c>
      <c r="E278" s="266"/>
      <c r="F278" s="1"/>
      <c r="Z278" s="322">
        <v>37350</v>
      </c>
      <c r="AA278" s="323">
        <v>83.5</v>
      </c>
      <c r="AB278" s="323">
        <v>64</v>
      </c>
    </row>
    <row r="279" spans="1:28">
      <c r="A279" s="264">
        <v>37329</v>
      </c>
      <c r="B279" s="264">
        <v>37329</v>
      </c>
      <c r="C279" s="266">
        <v>88.5</v>
      </c>
      <c r="D279" s="266">
        <v>76</v>
      </c>
      <c r="E279" s="266"/>
      <c r="F279" s="1"/>
      <c r="Z279" s="322">
        <v>37357</v>
      </c>
      <c r="AA279" s="323">
        <v>84.5</v>
      </c>
      <c r="AB279" s="323">
        <v>65</v>
      </c>
    </row>
    <row r="280" spans="1:28">
      <c r="A280" s="264">
        <v>37336</v>
      </c>
      <c r="B280" s="264">
        <v>37336</v>
      </c>
      <c r="C280" s="266">
        <v>85.5</v>
      </c>
      <c r="D280" s="266">
        <v>75.5</v>
      </c>
      <c r="E280" s="266"/>
      <c r="F280" s="1"/>
      <c r="Z280" s="322">
        <v>37364</v>
      </c>
      <c r="AA280" s="323">
        <v>82.5</v>
      </c>
      <c r="AB280" s="323">
        <v>65</v>
      </c>
    </row>
    <row r="281" spans="1:28">
      <c r="A281" s="264">
        <v>37343</v>
      </c>
      <c r="B281" s="264">
        <v>37343</v>
      </c>
      <c r="C281" s="266">
        <v>85</v>
      </c>
      <c r="D281" s="266">
        <v>70</v>
      </c>
      <c r="E281" s="266"/>
      <c r="F281" s="1"/>
      <c r="Z281" s="322">
        <v>37371</v>
      </c>
      <c r="AA281" s="323">
        <v>83.5</v>
      </c>
      <c r="AB281" s="323">
        <v>62</v>
      </c>
    </row>
    <row r="282" spans="1:28">
      <c r="A282" s="264">
        <v>37350</v>
      </c>
      <c r="B282" s="264">
        <v>37350</v>
      </c>
      <c r="C282" s="266">
        <v>83.5</v>
      </c>
      <c r="D282" s="266">
        <v>66</v>
      </c>
      <c r="E282" s="266"/>
      <c r="F282" s="1"/>
      <c r="Z282" s="322">
        <v>37378</v>
      </c>
      <c r="AA282" s="323">
        <v>85</v>
      </c>
      <c r="AB282" s="323">
        <v>61</v>
      </c>
    </row>
    <row r="283" spans="1:28">
      <c r="A283" s="264">
        <v>37357</v>
      </c>
      <c r="B283" s="264">
        <v>37357</v>
      </c>
      <c r="C283" s="266">
        <v>84.5</v>
      </c>
      <c r="D283" s="266">
        <v>64</v>
      </c>
      <c r="E283" s="266"/>
      <c r="F283" s="1"/>
      <c r="Z283" s="322">
        <v>37385</v>
      </c>
      <c r="AA283" s="323">
        <v>86</v>
      </c>
      <c r="AB283" s="323">
        <v>62.5</v>
      </c>
    </row>
    <row r="284" spans="1:28">
      <c r="A284" s="264">
        <v>37364</v>
      </c>
      <c r="B284" s="264">
        <v>37364</v>
      </c>
      <c r="C284" s="266">
        <v>82.5</v>
      </c>
      <c r="D284" s="266">
        <v>65</v>
      </c>
      <c r="E284" s="266"/>
      <c r="F284" s="1"/>
      <c r="Z284" s="322">
        <v>37392</v>
      </c>
      <c r="AA284" s="323">
        <v>87</v>
      </c>
      <c r="AB284" s="323">
        <v>63.5</v>
      </c>
    </row>
    <row r="285" spans="1:28">
      <c r="A285" s="264">
        <v>37371</v>
      </c>
      <c r="B285" s="264">
        <v>37371</v>
      </c>
      <c r="C285" s="266">
        <v>83.5</v>
      </c>
      <c r="D285" s="266">
        <v>65</v>
      </c>
      <c r="E285" s="266"/>
      <c r="F285" s="1"/>
      <c r="Z285" s="322">
        <v>37399</v>
      </c>
      <c r="AA285" s="323">
        <v>89.5</v>
      </c>
      <c r="AB285" s="323">
        <v>64</v>
      </c>
    </row>
    <row r="286" spans="1:28">
      <c r="A286" s="264">
        <v>37378</v>
      </c>
      <c r="B286" s="264">
        <v>37378</v>
      </c>
      <c r="C286" s="266">
        <v>85</v>
      </c>
      <c r="D286" s="266">
        <v>62</v>
      </c>
      <c r="E286" s="266"/>
      <c r="F286" s="1"/>
      <c r="Z286" s="322">
        <v>37406</v>
      </c>
      <c r="AA286" s="323">
        <v>89.5</v>
      </c>
      <c r="AB286" s="323">
        <v>64</v>
      </c>
    </row>
    <row r="287" spans="1:28">
      <c r="A287" s="264">
        <v>37385</v>
      </c>
      <c r="B287" s="264">
        <v>37385</v>
      </c>
      <c r="C287" s="266">
        <v>86</v>
      </c>
      <c r="D287" s="266">
        <v>61</v>
      </c>
      <c r="E287" s="266"/>
      <c r="F287" s="1"/>
      <c r="Z287" s="322">
        <v>37413</v>
      </c>
      <c r="AA287" s="323">
        <v>90.5</v>
      </c>
      <c r="AB287" s="323">
        <v>64</v>
      </c>
    </row>
    <row r="288" spans="1:28">
      <c r="A288" s="264">
        <v>37392</v>
      </c>
      <c r="B288" s="264">
        <v>37392</v>
      </c>
      <c r="C288" s="266">
        <v>87</v>
      </c>
      <c r="D288" s="266">
        <v>62.5</v>
      </c>
      <c r="E288" s="266"/>
      <c r="F288" s="1"/>
      <c r="Z288" s="322">
        <v>37420</v>
      </c>
      <c r="AA288" s="323">
        <v>91.5</v>
      </c>
      <c r="AB288" s="323">
        <v>64</v>
      </c>
    </row>
    <row r="289" spans="1:28">
      <c r="A289" s="264">
        <v>37399</v>
      </c>
      <c r="B289" s="264">
        <v>37399</v>
      </c>
      <c r="C289" s="266">
        <v>89.5</v>
      </c>
      <c r="D289" s="266">
        <v>63.5</v>
      </c>
      <c r="E289" s="266"/>
      <c r="F289" s="1"/>
      <c r="Z289" s="322">
        <v>37427</v>
      </c>
      <c r="AA289" s="323">
        <v>90</v>
      </c>
      <c r="AB289" s="323">
        <v>64</v>
      </c>
    </row>
    <row r="290" spans="1:28">
      <c r="A290" s="264">
        <v>37406</v>
      </c>
      <c r="B290" s="264">
        <v>37406</v>
      </c>
      <c r="C290" s="266">
        <v>89.5</v>
      </c>
      <c r="D290" s="266">
        <v>64</v>
      </c>
      <c r="E290" s="266"/>
      <c r="F290" s="1"/>
      <c r="Z290" s="322">
        <v>37434</v>
      </c>
      <c r="AA290" s="323">
        <v>89.5</v>
      </c>
      <c r="AB290" s="323">
        <v>62</v>
      </c>
    </row>
    <row r="291" spans="1:28">
      <c r="A291" s="264">
        <v>37413</v>
      </c>
      <c r="B291" s="264">
        <v>37413</v>
      </c>
      <c r="C291" s="266">
        <v>90.5</v>
      </c>
      <c r="D291" s="266">
        <v>64</v>
      </c>
      <c r="E291" s="266"/>
      <c r="F291" s="1"/>
      <c r="Z291" s="322">
        <v>37441</v>
      </c>
      <c r="AA291" s="323">
        <v>90</v>
      </c>
      <c r="AB291" s="323">
        <v>61.5</v>
      </c>
    </row>
    <row r="292" spans="1:28">
      <c r="A292" s="264">
        <v>37420</v>
      </c>
      <c r="B292" s="264">
        <v>37420</v>
      </c>
      <c r="C292" s="266">
        <v>91.5</v>
      </c>
      <c r="D292" s="266">
        <v>64</v>
      </c>
      <c r="E292" s="266"/>
      <c r="F292" s="1"/>
      <c r="Z292" s="322">
        <v>37448</v>
      </c>
      <c r="AA292" s="323">
        <v>93</v>
      </c>
      <c r="AB292" s="323">
        <v>59.5</v>
      </c>
    </row>
    <row r="293" spans="1:28">
      <c r="A293" s="264">
        <v>37427</v>
      </c>
      <c r="B293" s="264">
        <v>37427</v>
      </c>
      <c r="C293" s="266">
        <v>90</v>
      </c>
      <c r="D293" s="266">
        <v>64</v>
      </c>
      <c r="E293" s="266"/>
      <c r="F293" s="1"/>
      <c r="Z293" s="322">
        <v>37455</v>
      </c>
      <c r="AA293" s="323">
        <v>95.5</v>
      </c>
      <c r="AB293" s="323">
        <v>61</v>
      </c>
    </row>
    <row r="294" spans="1:28">
      <c r="A294" s="264">
        <v>37434</v>
      </c>
      <c r="B294" s="264">
        <v>37434</v>
      </c>
      <c r="C294" s="266">
        <v>89.5</v>
      </c>
      <c r="D294" s="266">
        <v>64</v>
      </c>
      <c r="E294" s="266"/>
      <c r="F294" s="1"/>
      <c r="Z294" s="322">
        <v>37462</v>
      </c>
      <c r="AA294" s="323">
        <v>97.5</v>
      </c>
      <c r="AB294" s="323">
        <v>60.5</v>
      </c>
    </row>
    <row r="295" spans="1:28">
      <c r="A295" s="264">
        <v>37441</v>
      </c>
      <c r="B295" s="264">
        <v>37441</v>
      </c>
      <c r="C295" s="266">
        <v>90</v>
      </c>
      <c r="D295" s="266">
        <v>62</v>
      </c>
      <c r="E295" s="266"/>
      <c r="F295" s="1"/>
      <c r="Z295" s="322">
        <v>37469</v>
      </c>
      <c r="AA295" s="323">
        <v>101</v>
      </c>
      <c r="AB295" s="323">
        <v>64</v>
      </c>
    </row>
    <row r="296" spans="1:28">
      <c r="A296" s="264">
        <v>37448</v>
      </c>
      <c r="B296" s="264">
        <v>37448</v>
      </c>
      <c r="C296" s="266">
        <v>93</v>
      </c>
      <c r="D296" s="266">
        <v>61.5</v>
      </c>
      <c r="E296" s="266"/>
      <c r="F296" s="1"/>
      <c r="Z296" s="322">
        <v>37476</v>
      </c>
      <c r="AA296" s="323">
        <v>101</v>
      </c>
      <c r="AB296" s="323">
        <v>64</v>
      </c>
    </row>
    <row r="297" spans="1:28">
      <c r="A297" s="264">
        <v>37455</v>
      </c>
      <c r="B297" s="264">
        <v>37455</v>
      </c>
      <c r="C297" s="266">
        <v>95.5</v>
      </c>
      <c r="D297" s="266">
        <v>59.5</v>
      </c>
      <c r="E297" s="266"/>
      <c r="F297" s="1"/>
      <c r="Z297" s="322">
        <v>37483</v>
      </c>
      <c r="AA297" s="323">
        <v>101</v>
      </c>
      <c r="AB297" s="323">
        <v>64</v>
      </c>
    </row>
    <row r="298" spans="1:28">
      <c r="A298" s="264">
        <v>37462</v>
      </c>
      <c r="B298" s="264">
        <v>37462</v>
      </c>
      <c r="C298" s="266">
        <v>97.5</v>
      </c>
      <c r="D298" s="266">
        <v>61</v>
      </c>
      <c r="E298" s="266"/>
      <c r="F298" s="1"/>
      <c r="Z298" s="322">
        <v>37490</v>
      </c>
      <c r="AA298" s="323">
        <v>98.5</v>
      </c>
      <c r="AB298" s="323">
        <v>64</v>
      </c>
    </row>
    <row r="299" spans="1:28">
      <c r="A299" s="264">
        <v>37469</v>
      </c>
      <c r="B299" s="264">
        <v>37469</v>
      </c>
      <c r="C299" s="266">
        <v>101</v>
      </c>
      <c r="D299" s="266">
        <v>60.5</v>
      </c>
      <c r="E299" s="266"/>
      <c r="F299" s="1"/>
      <c r="Z299" s="322">
        <v>37497</v>
      </c>
      <c r="AA299" s="323">
        <v>95.5</v>
      </c>
      <c r="AB299" s="323">
        <v>64</v>
      </c>
    </row>
    <row r="300" spans="1:28">
      <c r="A300" s="264">
        <v>37476</v>
      </c>
      <c r="B300" s="264">
        <v>37476</v>
      </c>
      <c r="C300" s="266">
        <v>101</v>
      </c>
      <c r="D300" s="266">
        <v>64</v>
      </c>
      <c r="E300" s="266"/>
      <c r="F300" s="1"/>
      <c r="Z300" s="322">
        <v>37504</v>
      </c>
      <c r="AA300" s="323">
        <v>92</v>
      </c>
      <c r="AB300" s="323">
        <v>59.5</v>
      </c>
    </row>
    <row r="301" spans="1:28">
      <c r="A301" s="264">
        <v>37483</v>
      </c>
      <c r="B301" s="264">
        <v>37483</v>
      </c>
      <c r="C301" s="267">
        <v>101</v>
      </c>
      <c r="D301" s="267">
        <v>64</v>
      </c>
      <c r="E301" s="267"/>
      <c r="F301" s="1"/>
      <c r="Z301" s="322">
        <v>37511</v>
      </c>
      <c r="AA301" s="323">
        <v>90.5</v>
      </c>
      <c r="AB301" s="323">
        <v>59.5</v>
      </c>
    </row>
    <row r="302" spans="1:28">
      <c r="A302" s="264">
        <v>37490</v>
      </c>
      <c r="B302" s="264">
        <v>37490</v>
      </c>
      <c r="C302" s="267">
        <v>98.5</v>
      </c>
      <c r="D302" s="267">
        <v>64</v>
      </c>
      <c r="E302" s="267"/>
      <c r="F302" s="1"/>
      <c r="Z302" s="322">
        <v>37518</v>
      </c>
      <c r="AA302" s="323">
        <v>88.5</v>
      </c>
      <c r="AB302" s="323">
        <v>59.5</v>
      </c>
    </row>
    <row r="303" spans="1:28">
      <c r="A303" s="264">
        <v>37497</v>
      </c>
      <c r="B303" s="264">
        <v>37497</v>
      </c>
      <c r="C303" s="265">
        <v>95.5</v>
      </c>
      <c r="D303" s="265">
        <v>64</v>
      </c>
      <c r="E303" s="265"/>
      <c r="F303" s="1"/>
      <c r="Z303" s="322">
        <v>37525</v>
      </c>
      <c r="AA303" s="323">
        <v>87</v>
      </c>
      <c r="AB303" s="323">
        <v>61</v>
      </c>
    </row>
    <row r="304" spans="1:28">
      <c r="A304" s="264">
        <v>37504</v>
      </c>
      <c r="B304" s="264">
        <v>37504</v>
      </c>
      <c r="C304" s="265">
        <v>92</v>
      </c>
      <c r="D304" s="265">
        <v>64</v>
      </c>
      <c r="E304" s="265"/>
      <c r="F304" s="1"/>
      <c r="Z304" s="322">
        <v>37532</v>
      </c>
      <c r="AA304" s="323">
        <v>89</v>
      </c>
      <c r="AB304" s="323">
        <v>61</v>
      </c>
    </row>
    <row r="305" spans="1:28">
      <c r="A305" s="264">
        <v>37511</v>
      </c>
      <c r="B305" s="264">
        <v>37511</v>
      </c>
      <c r="C305" s="265">
        <v>90.5</v>
      </c>
      <c r="D305" s="265">
        <v>59.5</v>
      </c>
      <c r="E305" s="265"/>
      <c r="F305" s="1"/>
      <c r="Z305" s="322">
        <v>37539</v>
      </c>
      <c r="AA305" s="323">
        <v>90</v>
      </c>
      <c r="AB305" s="323">
        <v>60.5</v>
      </c>
    </row>
    <row r="306" spans="1:28">
      <c r="A306" s="264">
        <v>37518</v>
      </c>
      <c r="B306" s="264">
        <v>37518</v>
      </c>
      <c r="C306" s="265">
        <v>88.5</v>
      </c>
      <c r="D306" s="265">
        <v>59.5</v>
      </c>
      <c r="E306" s="265"/>
      <c r="F306" s="1"/>
      <c r="Z306" s="322">
        <v>37546</v>
      </c>
      <c r="AA306" s="323">
        <v>90</v>
      </c>
      <c r="AB306" s="323">
        <v>58</v>
      </c>
    </row>
    <row r="307" spans="1:28">
      <c r="A307" s="264">
        <v>37525</v>
      </c>
      <c r="B307" s="264">
        <v>37525</v>
      </c>
      <c r="C307" s="265">
        <v>87</v>
      </c>
      <c r="D307" s="265">
        <v>59.5</v>
      </c>
      <c r="E307" s="265"/>
      <c r="F307" s="1"/>
      <c r="Z307" s="322">
        <v>37553</v>
      </c>
      <c r="AA307" s="323">
        <v>89.5</v>
      </c>
      <c r="AB307" s="323">
        <v>56</v>
      </c>
    </row>
    <row r="308" spans="1:28">
      <c r="A308" s="264">
        <v>37532</v>
      </c>
      <c r="B308" s="264">
        <v>37532</v>
      </c>
      <c r="C308" s="265">
        <v>89</v>
      </c>
      <c r="D308" s="265">
        <v>61</v>
      </c>
      <c r="E308" s="265"/>
      <c r="F308" s="1"/>
      <c r="Z308" s="322">
        <v>37560</v>
      </c>
      <c r="AA308" s="323">
        <v>90</v>
      </c>
      <c r="AB308" s="323">
        <v>56</v>
      </c>
    </row>
    <row r="309" spans="1:28">
      <c r="A309" s="264">
        <v>37539</v>
      </c>
      <c r="B309" s="264">
        <v>37539</v>
      </c>
      <c r="C309" s="265">
        <v>90</v>
      </c>
      <c r="D309" s="265">
        <v>61</v>
      </c>
      <c r="E309" s="265"/>
      <c r="F309" s="1"/>
      <c r="Z309" s="322">
        <v>37567</v>
      </c>
      <c r="AA309" s="323">
        <v>90</v>
      </c>
      <c r="AB309" s="323">
        <v>56</v>
      </c>
    </row>
    <row r="310" spans="1:28">
      <c r="A310" s="264">
        <v>37546</v>
      </c>
      <c r="B310" s="264">
        <v>37546</v>
      </c>
      <c r="C310" s="265">
        <v>90</v>
      </c>
      <c r="D310" s="265">
        <v>60.5</v>
      </c>
      <c r="E310" s="265"/>
      <c r="F310" s="1"/>
      <c r="Z310" s="322">
        <v>37574</v>
      </c>
      <c r="AA310" s="323">
        <v>96</v>
      </c>
      <c r="AB310" s="323">
        <v>64</v>
      </c>
    </row>
    <row r="311" spans="1:28">
      <c r="A311" s="264">
        <v>37553</v>
      </c>
      <c r="B311" s="264">
        <v>37553</v>
      </c>
      <c r="C311" s="265">
        <v>89.5</v>
      </c>
      <c r="D311" s="265">
        <v>58</v>
      </c>
      <c r="E311" s="265"/>
      <c r="F311" s="1"/>
      <c r="Z311" s="322">
        <v>37581</v>
      </c>
      <c r="AA311" s="323">
        <v>100</v>
      </c>
      <c r="AB311" s="323">
        <v>62</v>
      </c>
    </row>
    <row r="312" spans="1:28">
      <c r="A312" s="264">
        <v>37560</v>
      </c>
      <c r="B312" s="264">
        <v>37560</v>
      </c>
      <c r="C312" s="265">
        <v>90</v>
      </c>
      <c r="D312" s="265">
        <v>56</v>
      </c>
      <c r="E312" s="265"/>
      <c r="F312" s="1"/>
      <c r="Z312" s="322">
        <v>37588</v>
      </c>
      <c r="AA312" s="323">
        <v>100</v>
      </c>
      <c r="AB312" s="323">
        <v>62</v>
      </c>
    </row>
    <row r="313" spans="1:28">
      <c r="A313" s="264">
        <v>37567</v>
      </c>
      <c r="B313" s="264">
        <v>37567</v>
      </c>
      <c r="C313" s="265">
        <v>90</v>
      </c>
      <c r="D313" s="265">
        <v>56</v>
      </c>
      <c r="E313" s="265"/>
      <c r="F313" s="1"/>
      <c r="Z313" s="322">
        <v>37595</v>
      </c>
      <c r="AA313" s="323">
        <v>100</v>
      </c>
      <c r="AB313" s="323">
        <v>64</v>
      </c>
    </row>
    <row r="314" spans="1:28">
      <c r="A314" s="264">
        <v>37574</v>
      </c>
      <c r="B314" s="264">
        <v>37574</v>
      </c>
      <c r="C314" s="265">
        <v>96</v>
      </c>
      <c r="D314" s="265">
        <v>56</v>
      </c>
      <c r="E314" s="265"/>
      <c r="F314" s="1"/>
      <c r="Z314" s="322">
        <v>37602</v>
      </c>
      <c r="AA314" s="323">
        <v>99</v>
      </c>
      <c r="AB314" s="323">
        <v>67.5</v>
      </c>
    </row>
    <row r="315" spans="1:28">
      <c r="A315" s="264">
        <v>37581</v>
      </c>
      <c r="B315" s="264">
        <v>37581</v>
      </c>
      <c r="C315" s="265">
        <v>100</v>
      </c>
      <c r="D315" s="265">
        <v>64</v>
      </c>
      <c r="E315" s="265"/>
      <c r="F315" s="1"/>
      <c r="Z315" s="322">
        <v>37609</v>
      </c>
      <c r="AA315" s="323">
        <v>96</v>
      </c>
      <c r="AB315" s="323">
        <v>67.5</v>
      </c>
    </row>
    <row r="316" spans="1:28">
      <c r="A316" s="264">
        <v>37588</v>
      </c>
      <c r="B316" s="264">
        <v>37588</v>
      </c>
      <c r="C316" s="265">
        <v>100</v>
      </c>
      <c r="D316" s="265">
        <v>62</v>
      </c>
      <c r="E316" s="265"/>
      <c r="F316" s="1"/>
      <c r="Z316" s="322">
        <v>37623</v>
      </c>
      <c r="AA316" s="323">
        <v>98</v>
      </c>
      <c r="AB316" s="323">
        <v>67.5</v>
      </c>
    </row>
    <row r="317" spans="1:28">
      <c r="A317" s="264">
        <v>37595</v>
      </c>
      <c r="B317" s="264">
        <v>37595</v>
      </c>
      <c r="C317" s="265">
        <v>100</v>
      </c>
      <c r="D317" s="265">
        <v>62</v>
      </c>
      <c r="E317" s="265"/>
      <c r="F317" s="1"/>
      <c r="Z317" s="322">
        <v>37630</v>
      </c>
      <c r="AA317" s="323">
        <v>104.5</v>
      </c>
      <c r="AB317" s="323">
        <v>67.5</v>
      </c>
    </row>
    <row r="318" spans="1:28">
      <c r="A318" s="264">
        <v>37602</v>
      </c>
      <c r="B318" s="264">
        <v>37602</v>
      </c>
      <c r="C318" s="265">
        <v>99</v>
      </c>
      <c r="D318" s="265">
        <v>64</v>
      </c>
      <c r="E318" s="265"/>
      <c r="F318" s="1"/>
      <c r="Z318" s="322">
        <v>37637</v>
      </c>
      <c r="AA318" s="323">
        <v>111</v>
      </c>
      <c r="AB318" s="323">
        <v>77.5</v>
      </c>
    </row>
    <row r="319" spans="1:28">
      <c r="A319" s="264">
        <v>37609</v>
      </c>
      <c r="B319" s="264">
        <v>37609</v>
      </c>
      <c r="C319" s="265">
        <v>96</v>
      </c>
      <c r="D319" s="265">
        <v>67.5</v>
      </c>
      <c r="E319" s="265"/>
      <c r="F319" s="1"/>
      <c r="Z319" s="322">
        <v>37644</v>
      </c>
      <c r="AA319" s="323">
        <v>114.5</v>
      </c>
      <c r="AB319" s="323">
        <v>87.5</v>
      </c>
    </row>
    <row r="320" spans="1:28">
      <c r="A320" s="264">
        <v>37623</v>
      </c>
      <c r="B320" s="264">
        <v>37623</v>
      </c>
      <c r="C320" s="265">
        <v>98</v>
      </c>
      <c r="D320" s="265">
        <v>67.5</v>
      </c>
      <c r="E320" s="265"/>
      <c r="F320" s="1"/>
      <c r="Z320" s="322">
        <v>37651</v>
      </c>
      <c r="AA320" s="323">
        <v>125</v>
      </c>
      <c r="AB320" s="323">
        <v>87.5</v>
      </c>
    </row>
    <row r="321" spans="1:28">
      <c r="A321" s="264">
        <v>37630</v>
      </c>
      <c r="B321" s="264">
        <v>37630</v>
      </c>
      <c r="C321" s="265">
        <v>104.5</v>
      </c>
      <c r="D321" s="265">
        <v>67.5</v>
      </c>
      <c r="E321" s="265"/>
      <c r="F321" s="1"/>
      <c r="Z321" s="322">
        <v>37658</v>
      </c>
      <c r="AA321" s="323">
        <v>125</v>
      </c>
      <c r="AB321" s="323">
        <v>96.5</v>
      </c>
    </row>
    <row r="322" spans="1:28">
      <c r="A322" s="264">
        <v>37637</v>
      </c>
      <c r="B322" s="264">
        <v>37637</v>
      </c>
      <c r="C322" s="265">
        <v>111</v>
      </c>
      <c r="D322" s="265">
        <v>67.5</v>
      </c>
      <c r="E322" s="265"/>
      <c r="F322" s="1"/>
      <c r="Z322" s="322">
        <v>37665</v>
      </c>
      <c r="AA322" s="323">
        <v>125</v>
      </c>
      <c r="AB322" s="323">
        <v>97.5</v>
      </c>
    </row>
    <row r="323" spans="1:28">
      <c r="A323" s="264">
        <v>37644</v>
      </c>
      <c r="B323" s="264">
        <v>37644</v>
      </c>
      <c r="C323" s="265">
        <v>114.5</v>
      </c>
      <c r="D323" s="265">
        <v>77.5</v>
      </c>
      <c r="E323" s="265"/>
      <c r="F323" s="1"/>
      <c r="Z323" s="322">
        <v>37672</v>
      </c>
      <c r="AA323" s="323">
        <v>127.5</v>
      </c>
      <c r="AB323" s="323">
        <v>99</v>
      </c>
    </row>
    <row r="324" spans="1:28">
      <c r="A324" s="264">
        <v>37651</v>
      </c>
      <c r="B324" s="264">
        <v>37651</v>
      </c>
      <c r="C324" s="265">
        <v>125</v>
      </c>
      <c r="D324" s="265">
        <v>87.5</v>
      </c>
      <c r="E324" s="265"/>
      <c r="F324" s="1"/>
      <c r="Z324" s="322">
        <v>37679</v>
      </c>
      <c r="AA324" s="323">
        <v>127.5</v>
      </c>
      <c r="AB324" s="323">
        <v>99</v>
      </c>
    </row>
    <row r="325" spans="1:28">
      <c r="A325" s="264">
        <v>37658</v>
      </c>
      <c r="B325" s="264">
        <v>37658</v>
      </c>
      <c r="C325" s="265">
        <v>125</v>
      </c>
      <c r="D325" s="265">
        <v>87.5</v>
      </c>
      <c r="E325" s="265"/>
      <c r="F325" s="1"/>
      <c r="Z325" s="322">
        <v>37686</v>
      </c>
      <c r="AA325" s="323">
        <v>134</v>
      </c>
      <c r="AB325" s="323">
        <v>99</v>
      </c>
    </row>
    <row r="326" spans="1:28">
      <c r="A326" s="264">
        <v>37665</v>
      </c>
      <c r="B326" s="264">
        <v>37665</v>
      </c>
      <c r="C326" s="265">
        <v>125</v>
      </c>
      <c r="D326" s="265">
        <v>96.5</v>
      </c>
      <c r="E326" s="265"/>
      <c r="F326" s="1"/>
      <c r="Z326" s="322">
        <v>37693</v>
      </c>
      <c r="AA326" s="323">
        <v>134</v>
      </c>
      <c r="AB326" s="323">
        <v>92.5</v>
      </c>
    </row>
    <row r="327" spans="1:28">
      <c r="A327" s="264">
        <v>37672</v>
      </c>
      <c r="B327" s="264">
        <v>37672</v>
      </c>
      <c r="C327" s="265">
        <v>127.5</v>
      </c>
      <c r="D327" s="265">
        <v>97.5</v>
      </c>
      <c r="E327" s="265"/>
      <c r="F327" s="1"/>
      <c r="Z327" s="322">
        <v>37700</v>
      </c>
      <c r="AA327" s="323">
        <v>134</v>
      </c>
      <c r="AB327" s="323">
        <v>91</v>
      </c>
    </row>
    <row r="328" spans="1:28">
      <c r="A328" s="264">
        <v>37679</v>
      </c>
      <c r="B328" s="264">
        <v>37679</v>
      </c>
      <c r="C328" s="265">
        <v>127.5</v>
      </c>
      <c r="D328" s="265">
        <v>99</v>
      </c>
      <c r="E328" s="265"/>
      <c r="F328" s="1"/>
      <c r="Z328" s="322">
        <v>37707</v>
      </c>
      <c r="AA328" s="323">
        <v>125</v>
      </c>
      <c r="AB328" s="323">
        <v>91</v>
      </c>
    </row>
    <row r="329" spans="1:28">
      <c r="A329" s="264">
        <v>37686</v>
      </c>
      <c r="B329" s="264">
        <v>37686</v>
      </c>
      <c r="C329" s="265">
        <v>134</v>
      </c>
      <c r="D329" s="265">
        <v>99</v>
      </c>
      <c r="E329" s="265"/>
      <c r="F329" s="1"/>
      <c r="Z329" s="322">
        <v>37714</v>
      </c>
      <c r="AA329" s="323">
        <v>118</v>
      </c>
      <c r="AB329" s="323">
        <v>89.5</v>
      </c>
    </row>
    <row r="330" spans="1:28">
      <c r="A330" s="264">
        <v>37693</v>
      </c>
      <c r="B330" s="264">
        <v>37693</v>
      </c>
      <c r="C330" s="265">
        <v>134</v>
      </c>
      <c r="D330" s="265">
        <v>99</v>
      </c>
      <c r="E330" s="265"/>
      <c r="F330" s="1"/>
      <c r="Z330" s="322">
        <v>37721</v>
      </c>
      <c r="AA330" s="323">
        <v>112.5</v>
      </c>
      <c r="AB330" s="323">
        <v>67.5</v>
      </c>
    </row>
    <row r="331" spans="1:28">
      <c r="A331" s="264">
        <v>37700</v>
      </c>
      <c r="B331" s="264">
        <v>37700</v>
      </c>
      <c r="C331" s="265">
        <v>134</v>
      </c>
      <c r="D331" s="265">
        <v>92.5</v>
      </c>
      <c r="E331" s="265"/>
      <c r="F331" s="1"/>
      <c r="Z331" s="322">
        <v>37728</v>
      </c>
      <c r="AA331" s="323">
        <v>110.5</v>
      </c>
      <c r="AB331" s="323">
        <v>63.5</v>
      </c>
    </row>
    <row r="332" spans="1:28">
      <c r="A332" s="264">
        <v>37707</v>
      </c>
      <c r="B332" s="264">
        <v>37707</v>
      </c>
      <c r="C332" s="265">
        <v>125</v>
      </c>
      <c r="D332" s="265">
        <v>91</v>
      </c>
      <c r="E332" s="265"/>
      <c r="F332" s="1"/>
      <c r="Z332" s="322">
        <v>37735</v>
      </c>
      <c r="AA332" s="323">
        <v>113.5</v>
      </c>
      <c r="AB332" s="323">
        <v>62.5</v>
      </c>
    </row>
    <row r="333" spans="1:28">
      <c r="A333" s="264">
        <v>37714</v>
      </c>
      <c r="B333" s="264">
        <v>37714</v>
      </c>
      <c r="C333" s="265">
        <v>118</v>
      </c>
      <c r="D333" s="265">
        <v>91</v>
      </c>
      <c r="E333" s="265"/>
      <c r="F333" s="1"/>
      <c r="Z333" s="322">
        <v>37742</v>
      </c>
      <c r="AA333" s="323">
        <v>119</v>
      </c>
      <c r="AB333" s="323">
        <v>69</v>
      </c>
    </row>
    <row r="334" spans="1:28">
      <c r="A334" s="264">
        <v>37721</v>
      </c>
      <c r="B334" s="264">
        <v>37721</v>
      </c>
      <c r="C334" s="265">
        <v>112.5</v>
      </c>
      <c r="D334" s="265">
        <v>89.5</v>
      </c>
      <c r="E334" s="265"/>
      <c r="F334" s="1"/>
      <c r="Z334" s="322">
        <v>37749</v>
      </c>
      <c r="AA334" s="323">
        <v>123.5</v>
      </c>
      <c r="AB334" s="323">
        <v>69</v>
      </c>
    </row>
    <row r="335" spans="1:28">
      <c r="A335" s="264">
        <v>37728</v>
      </c>
      <c r="B335" s="264">
        <v>37728</v>
      </c>
      <c r="C335" s="265">
        <v>110.5</v>
      </c>
      <c r="D335" s="265">
        <v>67.5</v>
      </c>
      <c r="E335" s="265"/>
      <c r="F335" s="1"/>
      <c r="Z335" s="322">
        <v>37756</v>
      </c>
      <c r="AA335" s="323">
        <v>129</v>
      </c>
      <c r="AB335" s="323">
        <v>67.5</v>
      </c>
    </row>
    <row r="336" spans="1:28">
      <c r="A336" s="264">
        <v>37735</v>
      </c>
      <c r="B336" s="264">
        <v>37735</v>
      </c>
      <c r="C336" s="265">
        <v>113.5</v>
      </c>
      <c r="D336" s="265">
        <v>63.5</v>
      </c>
      <c r="E336" s="265"/>
      <c r="F336" s="1"/>
      <c r="Z336" s="322">
        <v>37763</v>
      </c>
      <c r="AA336" s="323">
        <v>129</v>
      </c>
      <c r="AB336" s="323">
        <v>70</v>
      </c>
    </row>
    <row r="337" spans="1:28">
      <c r="A337" s="264">
        <v>37742</v>
      </c>
      <c r="B337" s="264">
        <v>37742</v>
      </c>
      <c r="C337" s="265">
        <v>119</v>
      </c>
      <c r="D337" s="265">
        <v>62.5</v>
      </c>
      <c r="E337" s="265"/>
      <c r="F337" s="1"/>
      <c r="Z337" s="322">
        <v>37770</v>
      </c>
      <c r="AA337" s="323">
        <v>132</v>
      </c>
      <c r="AB337" s="323">
        <v>69</v>
      </c>
    </row>
    <row r="338" spans="1:28">
      <c r="A338" s="264">
        <v>37749</v>
      </c>
      <c r="B338" s="264">
        <v>37749</v>
      </c>
      <c r="C338" s="265">
        <v>123.5</v>
      </c>
      <c r="D338" s="265">
        <v>69</v>
      </c>
      <c r="E338" s="265"/>
      <c r="F338" s="1"/>
      <c r="Z338" s="322">
        <v>37777</v>
      </c>
      <c r="AA338" s="323">
        <v>130</v>
      </c>
      <c r="AB338" s="323">
        <v>69</v>
      </c>
    </row>
    <row r="339" spans="1:28">
      <c r="A339" s="264">
        <v>37756</v>
      </c>
      <c r="B339" s="264">
        <v>37756</v>
      </c>
      <c r="C339" s="265">
        <v>129</v>
      </c>
      <c r="D339" s="265">
        <v>69</v>
      </c>
      <c r="E339" s="265"/>
      <c r="F339" s="1"/>
      <c r="Z339" s="322">
        <v>37784</v>
      </c>
      <c r="AA339" s="323">
        <v>129</v>
      </c>
      <c r="AB339" s="323">
        <v>73</v>
      </c>
    </row>
    <row r="340" spans="1:28">
      <c r="A340" s="264">
        <v>37763</v>
      </c>
      <c r="B340" s="264">
        <v>37763</v>
      </c>
      <c r="C340" s="265">
        <v>129</v>
      </c>
      <c r="D340" s="265">
        <v>67.5</v>
      </c>
      <c r="E340" s="265"/>
      <c r="F340" s="1"/>
      <c r="Z340" s="322">
        <v>37791</v>
      </c>
      <c r="AA340" s="323">
        <v>132</v>
      </c>
      <c r="AB340" s="323">
        <v>73</v>
      </c>
    </row>
    <row r="341" spans="1:28">
      <c r="A341" s="264">
        <v>37770</v>
      </c>
      <c r="B341" s="264">
        <v>37770</v>
      </c>
      <c r="C341" s="265">
        <v>132</v>
      </c>
      <c r="D341" s="265">
        <v>70</v>
      </c>
      <c r="E341" s="265"/>
      <c r="F341" s="1"/>
      <c r="Z341" s="322">
        <v>37798</v>
      </c>
      <c r="AA341" s="323">
        <v>139</v>
      </c>
      <c r="AB341" s="323">
        <v>82.5</v>
      </c>
    </row>
    <row r="342" spans="1:28">
      <c r="A342" s="264">
        <v>37777</v>
      </c>
      <c r="B342" s="264">
        <v>37777</v>
      </c>
      <c r="C342" s="265">
        <v>130</v>
      </c>
      <c r="D342" s="265">
        <v>69</v>
      </c>
      <c r="E342" s="265"/>
      <c r="F342" s="1"/>
      <c r="Z342" s="322">
        <v>37805</v>
      </c>
      <c r="AA342" s="323">
        <v>141</v>
      </c>
      <c r="AB342" s="323">
        <v>84</v>
      </c>
    </row>
    <row r="343" spans="1:28">
      <c r="A343" s="264">
        <v>37784</v>
      </c>
      <c r="B343" s="264">
        <v>37784</v>
      </c>
      <c r="C343" s="265">
        <v>129</v>
      </c>
      <c r="D343" s="265">
        <v>69</v>
      </c>
      <c r="E343" s="265"/>
      <c r="F343" s="1"/>
      <c r="Z343" s="322">
        <v>37812</v>
      </c>
      <c r="AA343" s="323">
        <v>142</v>
      </c>
      <c r="AB343" s="323">
        <v>81</v>
      </c>
    </row>
    <row r="344" spans="1:28">
      <c r="A344" s="264">
        <v>37791</v>
      </c>
      <c r="B344" s="264">
        <v>37791</v>
      </c>
      <c r="C344" s="265">
        <v>132</v>
      </c>
      <c r="D344" s="265">
        <v>73</v>
      </c>
      <c r="E344" s="265"/>
      <c r="F344" s="1"/>
      <c r="Z344" s="322">
        <v>37819</v>
      </c>
      <c r="AA344" s="323">
        <v>139.5</v>
      </c>
      <c r="AB344" s="323">
        <v>81</v>
      </c>
    </row>
    <row r="345" spans="1:28">
      <c r="A345" s="264">
        <v>37798</v>
      </c>
      <c r="B345" s="264">
        <v>37798</v>
      </c>
      <c r="C345" s="265">
        <v>139</v>
      </c>
      <c r="D345" s="265">
        <v>73</v>
      </c>
      <c r="E345" s="265"/>
      <c r="F345" s="1"/>
      <c r="Z345" s="322">
        <v>37826</v>
      </c>
      <c r="AA345" s="323">
        <v>136</v>
      </c>
      <c r="AB345" s="323">
        <v>80.5</v>
      </c>
    </row>
    <row r="346" spans="1:28">
      <c r="A346" s="264">
        <v>37805</v>
      </c>
      <c r="B346" s="264">
        <v>37805</v>
      </c>
      <c r="C346" s="265">
        <v>141</v>
      </c>
      <c r="D346" s="265">
        <v>82.5</v>
      </c>
      <c r="E346" s="265"/>
      <c r="F346" s="1"/>
      <c r="Z346" s="322">
        <v>37833</v>
      </c>
      <c r="AA346" s="323">
        <v>129.5</v>
      </c>
      <c r="AB346" s="323">
        <v>83</v>
      </c>
    </row>
    <row r="347" spans="1:28">
      <c r="A347" s="264">
        <v>37812</v>
      </c>
      <c r="B347" s="264">
        <v>37812</v>
      </c>
      <c r="C347" s="265">
        <v>142</v>
      </c>
      <c r="D347" s="265">
        <v>84</v>
      </c>
      <c r="E347" s="265"/>
      <c r="F347" s="1"/>
      <c r="Z347" s="322">
        <v>37840</v>
      </c>
      <c r="AA347" s="323">
        <v>139.5</v>
      </c>
      <c r="AB347" s="323">
        <v>84.5</v>
      </c>
    </row>
    <row r="348" spans="1:28">
      <c r="A348" s="264">
        <v>37819</v>
      </c>
      <c r="B348" s="264">
        <v>37819</v>
      </c>
      <c r="C348" s="265">
        <v>139.5</v>
      </c>
      <c r="D348" s="265">
        <v>81</v>
      </c>
      <c r="E348" s="265"/>
      <c r="F348" s="1"/>
      <c r="Z348" s="322">
        <v>37847</v>
      </c>
      <c r="AA348" s="323">
        <v>144.5</v>
      </c>
      <c r="AB348" s="323">
        <v>91</v>
      </c>
    </row>
    <row r="349" spans="1:28">
      <c r="A349" s="264">
        <v>37826</v>
      </c>
      <c r="B349" s="264">
        <v>37826</v>
      </c>
      <c r="C349" s="265">
        <v>136</v>
      </c>
      <c r="D349" s="265">
        <v>81</v>
      </c>
      <c r="E349" s="265"/>
      <c r="F349" s="1"/>
      <c r="Z349" s="322">
        <v>37854</v>
      </c>
      <c r="AA349" s="323">
        <v>149.5</v>
      </c>
      <c r="AB349" s="323">
        <v>91</v>
      </c>
    </row>
    <row r="350" spans="1:28">
      <c r="A350" s="264">
        <v>37833</v>
      </c>
      <c r="B350" s="264">
        <v>37833</v>
      </c>
      <c r="C350" s="265">
        <v>129.5</v>
      </c>
      <c r="D350" s="265">
        <v>80.5</v>
      </c>
      <c r="E350" s="265"/>
      <c r="F350" s="1"/>
      <c r="Z350" s="322">
        <v>37861</v>
      </c>
      <c r="AA350" s="323">
        <v>149</v>
      </c>
      <c r="AB350" s="323">
        <v>91</v>
      </c>
    </row>
    <row r="351" spans="1:28">
      <c r="A351" s="264">
        <v>37840</v>
      </c>
      <c r="B351" s="264">
        <v>37840</v>
      </c>
      <c r="C351" s="265">
        <v>139.5</v>
      </c>
      <c r="D351" s="265">
        <v>83</v>
      </c>
      <c r="E351" s="265"/>
      <c r="F351" s="1"/>
      <c r="Z351" s="322">
        <v>37868</v>
      </c>
      <c r="AA351" s="323">
        <v>143.5</v>
      </c>
      <c r="AB351" s="323">
        <v>92</v>
      </c>
    </row>
    <row r="352" spans="1:28">
      <c r="A352" s="264">
        <v>37847</v>
      </c>
      <c r="B352" s="264">
        <v>37847</v>
      </c>
      <c r="C352" s="265">
        <v>144.5</v>
      </c>
      <c r="D352" s="265">
        <v>84.5</v>
      </c>
      <c r="E352" s="265"/>
      <c r="F352" s="1"/>
      <c r="Z352" s="322">
        <v>37875</v>
      </c>
      <c r="AA352" s="323">
        <v>143.5</v>
      </c>
      <c r="AB352" s="323">
        <v>96</v>
      </c>
    </row>
    <row r="353" spans="1:28">
      <c r="A353" s="264">
        <v>37854</v>
      </c>
      <c r="B353" s="264">
        <v>37854</v>
      </c>
      <c r="C353" s="265">
        <v>149.5</v>
      </c>
      <c r="D353" s="265">
        <v>91</v>
      </c>
      <c r="E353" s="265"/>
      <c r="F353" s="1"/>
      <c r="Z353" s="322">
        <v>37882</v>
      </c>
      <c r="AA353" s="323">
        <v>149</v>
      </c>
      <c r="AB353" s="323">
        <v>97.5</v>
      </c>
    </row>
    <row r="354" spans="1:28">
      <c r="A354" s="264">
        <v>37861</v>
      </c>
      <c r="B354" s="264">
        <v>37861</v>
      </c>
      <c r="C354" s="265">
        <v>149</v>
      </c>
      <c r="D354" s="265">
        <v>91</v>
      </c>
      <c r="E354" s="265"/>
      <c r="F354" s="1"/>
      <c r="Z354" s="322">
        <v>37889</v>
      </c>
      <c r="AA354" s="323">
        <v>151.5</v>
      </c>
      <c r="AB354" s="323">
        <v>103.5</v>
      </c>
    </row>
    <row r="355" spans="1:28">
      <c r="A355" s="264">
        <v>37868</v>
      </c>
      <c r="B355" s="264">
        <v>37868</v>
      </c>
      <c r="C355" s="265">
        <v>143.5</v>
      </c>
      <c r="D355" s="265">
        <v>91</v>
      </c>
      <c r="E355" s="265"/>
      <c r="F355" s="1"/>
      <c r="Z355" s="322">
        <v>37896</v>
      </c>
      <c r="AA355" s="323">
        <v>153</v>
      </c>
      <c r="AB355" s="323">
        <v>116</v>
      </c>
    </row>
    <row r="356" spans="1:28">
      <c r="A356" s="264">
        <v>37875</v>
      </c>
      <c r="B356" s="264">
        <v>37875</v>
      </c>
      <c r="C356" s="265">
        <v>143.5</v>
      </c>
      <c r="D356" s="265">
        <v>92</v>
      </c>
      <c r="E356" s="265"/>
      <c r="F356" s="1"/>
      <c r="Z356" s="322">
        <v>37903</v>
      </c>
      <c r="AA356" s="323">
        <v>153</v>
      </c>
      <c r="AB356" s="323">
        <v>117</v>
      </c>
    </row>
    <row r="357" spans="1:28">
      <c r="A357" s="264">
        <v>37882</v>
      </c>
      <c r="B357" s="264">
        <v>37882</v>
      </c>
      <c r="C357" s="265">
        <v>149</v>
      </c>
      <c r="D357" s="265">
        <v>96</v>
      </c>
      <c r="E357" s="265"/>
      <c r="F357" s="1"/>
      <c r="Z357" s="322">
        <v>37910</v>
      </c>
      <c r="AA357" s="323">
        <v>151</v>
      </c>
      <c r="AB357" s="323">
        <v>117</v>
      </c>
    </row>
    <row r="358" spans="1:28">
      <c r="A358" s="264">
        <v>37889</v>
      </c>
      <c r="B358" s="264">
        <v>37889</v>
      </c>
      <c r="C358" s="265">
        <v>151.5</v>
      </c>
      <c r="D358" s="265">
        <v>97.5</v>
      </c>
      <c r="E358" s="265"/>
      <c r="F358" s="1"/>
      <c r="Z358" s="322">
        <v>37917</v>
      </c>
      <c r="AA358" s="323">
        <v>148</v>
      </c>
      <c r="AB358" s="323">
        <v>117</v>
      </c>
    </row>
    <row r="359" spans="1:28">
      <c r="A359" s="264">
        <v>37896</v>
      </c>
      <c r="B359" s="264">
        <v>37896</v>
      </c>
      <c r="C359" s="266">
        <v>153</v>
      </c>
      <c r="D359" s="266">
        <v>103.5</v>
      </c>
      <c r="E359" s="266"/>
      <c r="F359" s="1"/>
      <c r="Z359" s="322">
        <v>37924</v>
      </c>
      <c r="AA359" s="323">
        <v>146</v>
      </c>
      <c r="AB359" s="323">
        <v>115</v>
      </c>
    </row>
    <row r="360" spans="1:28">
      <c r="A360" s="264">
        <v>37903</v>
      </c>
      <c r="B360" s="264">
        <v>37903</v>
      </c>
      <c r="C360" s="265">
        <v>153</v>
      </c>
      <c r="D360" s="265">
        <v>116</v>
      </c>
      <c r="E360" s="265"/>
      <c r="F360" s="1"/>
      <c r="Z360" s="322">
        <v>37931</v>
      </c>
      <c r="AA360" s="323">
        <v>150</v>
      </c>
      <c r="AB360" s="323">
        <v>114</v>
      </c>
    </row>
    <row r="361" spans="1:28">
      <c r="A361" s="264">
        <v>37910</v>
      </c>
      <c r="B361" s="264">
        <v>37910</v>
      </c>
      <c r="C361" s="265">
        <v>151</v>
      </c>
      <c r="D361" s="265">
        <v>117</v>
      </c>
      <c r="E361" s="265"/>
      <c r="F361" s="1"/>
      <c r="Z361" s="322">
        <v>37938</v>
      </c>
      <c r="AA361" s="323">
        <v>154</v>
      </c>
      <c r="AB361" s="323">
        <v>112.5</v>
      </c>
    </row>
    <row r="362" spans="1:28">
      <c r="A362" s="264">
        <v>37917</v>
      </c>
      <c r="B362" s="264">
        <v>37917</v>
      </c>
      <c r="C362" s="265">
        <v>148</v>
      </c>
      <c r="D362" s="265">
        <v>117</v>
      </c>
      <c r="E362" s="265"/>
      <c r="F362" s="1"/>
      <c r="Z362" s="322">
        <v>37945</v>
      </c>
      <c r="AA362" s="323">
        <v>151</v>
      </c>
      <c r="AB362" s="323">
        <v>112.5</v>
      </c>
    </row>
    <row r="363" spans="1:28">
      <c r="A363" s="264">
        <v>37924</v>
      </c>
      <c r="B363" s="264">
        <v>37924</v>
      </c>
      <c r="C363" s="266">
        <v>146</v>
      </c>
      <c r="D363" s="266">
        <v>117</v>
      </c>
      <c r="E363" s="266"/>
      <c r="F363" s="1"/>
      <c r="Z363" s="322">
        <v>37952</v>
      </c>
      <c r="AA363" s="323">
        <v>155.5</v>
      </c>
      <c r="AB363" s="323">
        <v>116</v>
      </c>
    </row>
    <row r="364" spans="1:28">
      <c r="A364" s="264">
        <v>37931</v>
      </c>
      <c r="B364" s="264">
        <v>37931</v>
      </c>
      <c r="C364" s="266">
        <v>150</v>
      </c>
      <c r="D364" s="266">
        <v>115</v>
      </c>
      <c r="E364" s="266"/>
      <c r="F364" s="1"/>
      <c r="Z364" s="322">
        <v>37959</v>
      </c>
      <c r="AA364" s="323">
        <v>156.5</v>
      </c>
      <c r="AB364" s="323">
        <v>119</v>
      </c>
    </row>
    <row r="365" spans="1:28">
      <c r="A365" s="264">
        <v>37938</v>
      </c>
      <c r="B365" s="264">
        <v>37938</v>
      </c>
      <c r="C365" s="266">
        <v>154</v>
      </c>
      <c r="D365" s="266">
        <v>114</v>
      </c>
      <c r="E365" s="266"/>
      <c r="F365" s="1"/>
      <c r="Z365" s="322">
        <v>37966</v>
      </c>
      <c r="AA365" s="323">
        <v>158.5</v>
      </c>
      <c r="AB365" s="323">
        <v>121</v>
      </c>
    </row>
    <row r="366" spans="1:28">
      <c r="A366" s="264">
        <v>37945</v>
      </c>
      <c r="B366" s="264">
        <v>37945</v>
      </c>
      <c r="C366" s="266">
        <v>151</v>
      </c>
      <c r="D366" s="266">
        <v>112.5</v>
      </c>
      <c r="E366" s="266"/>
      <c r="F366" s="1"/>
      <c r="Z366" s="322">
        <v>37973</v>
      </c>
      <c r="AA366" s="323">
        <v>157</v>
      </c>
      <c r="AB366" s="323">
        <v>125.5</v>
      </c>
    </row>
    <row r="367" spans="1:28">
      <c r="A367" s="264">
        <v>37952</v>
      </c>
      <c r="B367" s="264">
        <v>37952</v>
      </c>
      <c r="C367" s="266">
        <v>155.5</v>
      </c>
      <c r="D367" s="266">
        <v>112.5</v>
      </c>
      <c r="E367" s="266"/>
      <c r="F367" s="1"/>
      <c r="Z367" s="322">
        <v>37988</v>
      </c>
      <c r="AA367" s="323">
        <v>156.5</v>
      </c>
      <c r="AB367" s="323">
        <v>127.5</v>
      </c>
    </row>
    <row r="368" spans="1:28">
      <c r="A368" s="264">
        <v>37959</v>
      </c>
      <c r="B368" s="264">
        <v>37959</v>
      </c>
      <c r="C368" s="266">
        <v>156.5</v>
      </c>
      <c r="D368" s="266">
        <v>116</v>
      </c>
      <c r="E368" s="266"/>
      <c r="F368" s="1"/>
      <c r="Z368" s="322">
        <v>37994</v>
      </c>
      <c r="AA368" s="323">
        <v>156.5</v>
      </c>
      <c r="AB368" s="323">
        <v>130</v>
      </c>
    </row>
    <row r="369" spans="1:28">
      <c r="A369" s="264">
        <v>37966</v>
      </c>
      <c r="B369" s="264">
        <v>37966</v>
      </c>
      <c r="C369" s="266">
        <v>158.5</v>
      </c>
      <c r="D369" s="266">
        <v>119</v>
      </c>
      <c r="E369" s="266"/>
      <c r="F369" s="1"/>
      <c r="Z369" s="322">
        <v>38001</v>
      </c>
      <c r="AA369" s="323">
        <v>153</v>
      </c>
      <c r="AB369" s="323">
        <v>132.5</v>
      </c>
    </row>
    <row r="370" spans="1:28">
      <c r="A370" s="264">
        <v>37973</v>
      </c>
      <c r="B370" s="264">
        <v>37973</v>
      </c>
      <c r="C370" s="266">
        <v>157</v>
      </c>
      <c r="D370" s="266">
        <v>121</v>
      </c>
      <c r="E370" s="266"/>
      <c r="F370" s="1"/>
      <c r="Z370" s="322">
        <v>38008</v>
      </c>
      <c r="AA370" s="323">
        <v>149</v>
      </c>
      <c r="AB370" s="323">
        <v>130</v>
      </c>
    </row>
    <row r="371" spans="1:28">
      <c r="A371" s="264">
        <v>37988</v>
      </c>
      <c r="B371" s="264">
        <v>37988</v>
      </c>
      <c r="C371" s="266">
        <v>156.5</v>
      </c>
      <c r="D371" s="266">
        <v>125.5</v>
      </c>
      <c r="E371" s="266"/>
      <c r="F371" s="1"/>
      <c r="Z371" s="322">
        <v>38015</v>
      </c>
      <c r="AA371" s="323">
        <v>141.5</v>
      </c>
      <c r="AB371" s="323">
        <v>119</v>
      </c>
    </row>
    <row r="372" spans="1:28">
      <c r="A372" s="264">
        <v>37994</v>
      </c>
      <c r="B372" s="264">
        <v>37994</v>
      </c>
      <c r="C372" s="266">
        <v>156.5</v>
      </c>
      <c r="D372" s="266">
        <v>127.5</v>
      </c>
      <c r="E372" s="266"/>
      <c r="F372" s="1"/>
      <c r="Z372" s="322">
        <v>38022</v>
      </c>
      <c r="AA372" s="323">
        <v>127.5</v>
      </c>
      <c r="AB372" s="323">
        <v>117.5</v>
      </c>
    </row>
    <row r="373" spans="1:28">
      <c r="A373" s="264">
        <v>38001</v>
      </c>
      <c r="B373" s="264">
        <v>38001</v>
      </c>
      <c r="C373" s="266">
        <v>153</v>
      </c>
      <c r="D373" s="266">
        <v>130</v>
      </c>
      <c r="E373" s="266"/>
      <c r="F373" s="1"/>
      <c r="Z373" s="322">
        <v>38029</v>
      </c>
      <c r="AA373" s="323">
        <v>120</v>
      </c>
      <c r="AB373" s="323">
        <v>117.5</v>
      </c>
    </row>
    <row r="374" spans="1:28">
      <c r="A374" s="264">
        <v>38008</v>
      </c>
      <c r="B374" s="264">
        <v>38008</v>
      </c>
      <c r="C374" s="266">
        <v>149</v>
      </c>
      <c r="D374" s="266">
        <v>132.5</v>
      </c>
      <c r="E374" s="266"/>
      <c r="F374" s="1"/>
      <c r="Z374" s="322">
        <v>38036</v>
      </c>
      <c r="AA374" s="323">
        <v>124</v>
      </c>
      <c r="AB374" s="323">
        <v>116.5</v>
      </c>
    </row>
    <row r="375" spans="1:28">
      <c r="A375" s="264">
        <v>38015</v>
      </c>
      <c r="B375" s="264">
        <v>38015</v>
      </c>
      <c r="C375" s="266">
        <v>141.5</v>
      </c>
      <c r="D375" s="266">
        <v>130</v>
      </c>
      <c r="E375" s="266"/>
      <c r="F375" s="1"/>
      <c r="Z375" s="322">
        <v>38043</v>
      </c>
      <c r="AA375" s="323">
        <v>126</v>
      </c>
      <c r="AB375" s="323">
        <v>125</v>
      </c>
    </row>
    <row r="376" spans="1:28">
      <c r="A376" s="264">
        <v>38022</v>
      </c>
      <c r="B376" s="264">
        <v>38022</v>
      </c>
      <c r="C376" s="266">
        <v>127.5</v>
      </c>
      <c r="D376" s="266">
        <v>119</v>
      </c>
      <c r="E376" s="266"/>
      <c r="F376" s="1"/>
      <c r="Z376" s="322">
        <v>38050</v>
      </c>
      <c r="AA376" s="323">
        <v>124.5</v>
      </c>
      <c r="AB376" s="323">
        <v>125</v>
      </c>
    </row>
    <row r="377" spans="1:28">
      <c r="A377" s="264">
        <v>38029</v>
      </c>
      <c r="B377" s="264">
        <v>38029</v>
      </c>
      <c r="C377" s="266">
        <v>120</v>
      </c>
      <c r="D377" s="266">
        <v>117.5</v>
      </c>
      <c r="E377" s="266"/>
      <c r="F377" s="1"/>
      <c r="Z377" s="322">
        <v>38057</v>
      </c>
      <c r="AA377" s="323">
        <v>126.5</v>
      </c>
      <c r="AB377" s="323">
        <v>125</v>
      </c>
    </row>
    <row r="378" spans="1:28">
      <c r="A378" s="264">
        <v>38036</v>
      </c>
      <c r="B378" s="264">
        <v>38036</v>
      </c>
      <c r="C378" s="266">
        <v>124</v>
      </c>
      <c r="D378" s="266">
        <v>117.5</v>
      </c>
      <c r="E378" s="266"/>
      <c r="F378" s="1"/>
      <c r="Z378" s="322">
        <v>38064</v>
      </c>
      <c r="AA378" s="323">
        <v>130</v>
      </c>
      <c r="AB378" s="323">
        <v>131</v>
      </c>
    </row>
    <row r="379" spans="1:28">
      <c r="A379" s="264">
        <v>38043</v>
      </c>
      <c r="B379" s="264">
        <v>38043</v>
      </c>
      <c r="C379" s="266">
        <v>126</v>
      </c>
      <c r="D379" s="266">
        <v>116.5</v>
      </c>
      <c r="E379" s="266"/>
      <c r="F379" s="1"/>
      <c r="Z379" s="322">
        <v>38071</v>
      </c>
      <c r="AA379" s="323">
        <v>125</v>
      </c>
      <c r="AB379" s="323">
        <v>131</v>
      </c>
    </row>
    <row r="380" spans="1:28">
      <c r="A380" s="264">
        <v>38050</v>
      </c>
      <c r="B380" s="264">
        <v>38050</v>
      </c>
      <c r="C380" s="266">
        <v>124.5</v>
      </c>
      <c r="D380" s="266">
        <v>125</v>
      </c>
      <c r="E380" s="266"/>
      <c r="F380" s="1"/>
      <c r="Z380" s="322">
        <v>38078</v>
      </c>
      <c r="AA380" s="323">
        <v>127.5</v>
      </c>
      <c r="AB380" s="323">
        <v>112.5</v>
      </c>
    </row>
    <row r="381" spans="1:28">
      <c r="A381" s="264">
        <v>38057</v>
      </c>
      <c r="B381" s="264">
        <v>38057</v>
      </c>
      <c r="C381" s="266">
        <v>126.5</v>
      </c>
      <c r="D381" s="266">
        <v>125</v>
      </c>
      <c r="E381" s="266"/>
      <c r="F381" s="1"/>
      <c r="Z381" s="322">
        <v>38085</v>
      </c>
      <c r="AA381" s="323">
        <v>131</v>
      </c>
      <c r="AB381" s="323">
        <v>100</v>
      </c>
    </row>
    <row r="382" spans="1:28">
      <c r="A382" s="264">
        <v>38064</v>
      </c>
      <c r="B382" s="264">
        <v>38064</v>
      </c>
      <c r="C382" s="266">
        <v>130</v>
      </c>
      <c r="D382" s="266">
        <v>125</v>
      </c>
      <c r="E382" s="266"/>
      <c r="F382" s="1"/>
      <c r="Z382" s="322">
        <v>38092</v>
      </c>
      <c r="AA382" s="323">
        <v>129</v>
      </c>
      <c r="AB382" s="323">
        <v>95</v>
      </c>
    </row>
    <row r="383" spans="1:28">
      <c r="A383" s="264">
        <v>38071</v>
      </c>
      <c r="B383" s="264">
        <v>38071</v>
      </c>
      <c r="C383" s="266">
        <v>125</v>
      </c>
      <c r="D383" s="266">
        <v>131</v>
      </c>
      <c r="E383" s="266"/>
      <c r="F383" s="1"/>
      <c r="Z383" s="322">
        <v>38099</v>
      </c>
      <c r="AA383" s="323">
        <v>127</v>
      </c>
      <c r="AB383" s="323">
        <v>92</v>
      </c>
    </row>
    <row r="384" spans="1:28">
      <c r="A384" s="264">
        <v>38078</v>
      </c>
      <c r="B384" s="264">
        <v>38078</v>
      </c>
      <c r="C384" s="266">
        <v>127.5</v>
      </c>
      <c r="D384" s="266">
        <v>131</v>
      </c>
      <c r="E384" s="266"/>
      <c r="F384" s="1"/>
      <c r="Z384" s="322">
        <v>38106</v>
      </c>
      <c r="AA384" s="323">
        <v>132</v>
      </c>
      <c r="AB384" s="323">
        <v>90</v>
      </c>
    </row>
    <row r="385" spans="1:28">
      <c r="A385" s="264">
        <v>38085</v>
      </c>
      <c r="B385" s="264">
        <v>38085</v>
      </c>
      <c r="C385" s="266">
        <v>131</v>
      </c>
      <c r="D385" s="266">
        <v>112.5</v>
      </c>
      <c r="E385" s="266"/>
      <c r="F385" s="1"/>
      <c r="Z385" s="322">
        <v>38113</v>
      </c>
      <c r="AA385" s="323">
        <v>129</v>
      </c>
      <c r="AB385" s="323">
        <v>89</v>
      </c>
    </row>
    <row r="386" spans="1:28">
      <c r="A386" s="264">
        <v>38092</v>
      </c>
      <c r="B386" s="264">
        <v>38092</v>
      </c>
      <c r="C386" s="266">
        <v>129</v>
      </c>
      <c r="D386" s="266">
        <v>100</v>
      </c>
      <c r="E386" s="266"/>
      <c r="F386" s="1"/>
      <c r="Z386" s="322">
        <v>38120</v>
      </c>
      <c r="AA386" s="323">
        <v>136.5</v>
      </c>
      <c r="AB386" s="323">
        <v>97.5</v>
      </c>
    </row>
    <row r="387" spans="1:28">
      <c r="A387" s="264">
        <v>38099</v>
      </c>
      <c r="B387" s="264">
        <v>38099</v>
      </c>
      <c r="C387" s="266">
        <v>127</v>
      </c>
      <c r="D387" s="266">
        <v>95</v>
      </c>
      <c r="E387" s="266"/>
      <c r="F387" s="1"/>
      <c r="Z387" s="322">
        <v>38127</v>
      </c>
      <c r="AA387" s="323">
        <v>141</v>
      </c>
      <c r="AB387" s="323">
        <v>116.5</v>
      </c>
    </row>
    <row r="388" spans="1:28">
      <c r="A388" s="264">
        <v>38106</v>
      </c>
      <c r="B388" s="264">
        <v>38106</v>
      </c>
      <c r="C388" s="266">
        <v>132</v>
      </c>
      <c r="D388" s="266">
        <v>92</v>
      </c>
      <c r="E388" s="266"/>
      <c r="F388" s="1"/>
      <c r="Z388" s="322">
        <v>38141</v>
      </c>
      <c r="AA388" s="323">
        <v>146</v>
      </c>
      <c r="AB388" s="323">
        <v>118.5</v>
      </c>
    </row>
    <row r="389" spans="1:28">
      <c r="A389" s="264">
        <v>38113</v>
      </c>
      <c r="B389" s="264">
        <v>38113</v>
      </c>
      <c r="C389" s="266">
        <v>129</v>
      </c>
      <c r="D389" s="266">
        <v>90</v>
      </c>
      <c r="E389" s="266"/>
      <c r="F389" s="1"/>
      <c r="Z389" s="322">
        <v>38148</v>
      </c>
      <c r="AA389" s="323">
        <v>161</v>
      </c>
      <c r="AB389" s="323">
        <v>120</v>
      </c>
    </row>
    <row r="390" spans="1:28">
      <c r="A390" s="264">
        <v>38120</v>
      </c>
      <c r="B390" s="264">
        <v>38120</v>
      </c>
      <c r="C390" s="266">
        <v>136.5</v>
      </c>
      <c r="D390" s="266">
        <v>89</v>
      </c>
      <c r="E390" s="266"/>
      <c r="F390" s="1"/>
      <c r="Z390" s="322">
        <v>38155</v>
      </c>
      <c r="AA390" s="323">
        <v>163</v>
      </c>
      <c r="AB390" s="323">
        <v>120.5</v>
      </c>
    </row>
    <row r="391" spans="1:28">
      <c r="A391" s="264">
        <v>38127</v>
      </c>
      <c r="B391" s="264">
        <v>38127</v>
      </c>
      <c r="C391" s="266">
        <v>141</v>
      </c>
      <c r="D391" s="266">
        <v>97.5</v>
      </c>
      <c r="E391" s="266"/>
      <c r="F391" s="1"/>
      <c r="Z391" s="322">
        <v>38162</v>
      </c>
      <c r="AA391" s="323">
        <v>166</v>
      </c>
      <c r="AB391" s="323">
        <v>120</v>
      </c>
    </row>
    <row r="392" spans="1:28">
      <c r="A392" s="264">
        <v>38141</v>
      </c>
      <c r="B392" s="264">
        <v>38141</v>
      </c>
      <c r="C392" s="266">
        <v>146</v>
      </c>
      <c r="D392" s="266">
        <v>116.5</v>
      </c>
      <c r="E392" s="266"/>
      <c r="F392" s="1"/>
      <c r="Z392" s="322">
        <v>38169</v>
      </c>
      <c r="AA392" s="323">
        <v>176</v>
      </c>
      <c r="AB392" s="323">
        <v>112.5</v>
      </c>
    </row>
    <row r="393" spans="1:28">
      <c r="A393" s="264">
        <v>38148</v>
      </c>
      <c r="B393" s="264">
        <v>38148</v>
      </c>
      <c r="C393" s="266">
        <v>161</v>
      </c>
      <c r="D393" s="266">
        <v>118.5</v>
      </c>
      <c r="E393" s="266"/>
      <c r="F393" s="1"/>
      <c r="Z393" s="322">
        <v>38176</v>
      </c>
      <c r="AA393" s="323">
        <v>186.5</v>
      </c>
      <c r="AB393" s="323">
        <v>128.5</v>
      </c>
    </row>
    <row r="394" spans="1:28">
      <c r="A394" s="264">
        <v>38155</v>
      </c>
      <c r="B394" s="264">
        <v>38155</v>
      </c>
      <c r="C394" s="266">
        <v>163</v>
      </c>
      <c r="D394" s="266">
        <v>120</v>
      </c>
      <c r="E394" s="266"/>
      <c r="F394" s="1"/>
      <c r="Z394" s="322">
        <v>38183</v>
      </c>
      <c r="AA394" s="323">
        <v>200</v>
      </c>
      <c r="AB394" s="323">
        <v>128.5</v>
      </c>
    </row>
    <row r="395" spans="1:28">
      <c r="A395" s="264">
        <v>38162</v>
      </c>
      <c r="B395" s="264">
        <v>38162</v>
      </c>
      <c r="C395" s="266">
        <v>166</v>
      </c>
      <c r="D395" s="266">
        <v>120.5</v>
      </c>
      <c r="E395" s="266"/>
      <c r="F395" s="1"/>
      <c r="Z395" s="322">
        <v>38190</v>
      </c>
      <c r="AA395" s="323">
        <v>208.5</v>
      </c>
      <c r="AB395" s="323">
        <v>123</v>
      </c>
    </row>
    <row r="396" spans="1:28">
      <c r="A396" s="264">
        <v>38169</v>
      </c>
      <c r="B396" s="264">
        <v>38169</v>
      </c>
      <c r="C396" s="266">
        <v>176</v>
      </c>
      <c r="D396" s="266">
        <v>120</v>
      </c>
      <c r="E396" s="266"/>
      <c r="F396" s="1"/>
      <c r="Z396" s="322">
        <v>38197</v>
      </c>
      <c r="AA396" s="323">
        <v>213</v>
      </c>
      <c r="AB396" s="323">
        <v>122</v>
      </c>
    </row>
    <row r="397" spans="1:28">
      <c r="A397" s="264">
        <v>38176</v>
      </c>
      <c r="B397" s="264">
        <v>38176</v>
      </c>
      <c r="C397" s="267">
        <v>186.5</v>
      </c>
      <c r="D397" s="267">
        <v>112.5</v>
      </c>
      <c r="E397" s="267"/>
      <c r="F397" s="1"/>
      <c r="Z397" s="322">
        <v>38204</v>
      </c>
      <c r="AA397" s="323">
        <v>209.5</v>
      </c>
      <c r="AB397" s="323">
        <v>129</v>
      </c>
    </row>
    <row r="398" spans="1:28">
      <c r="A398" s="264">
        <v>38183</v>
      </c>
      <c r="B398" s="264">
        <v>38183</v>
      </c>
      <c r="C398" s="267">
        <v>200</v>
      </c>
      <c r="D398" s="267">
        <v>128.5</v>
      </c>
      <c r="E398" s="267"/>
      <c r="F398" s="1"/>
      <c r="Z398" s="322">
        <v>38211</v>
      </c>
      <c r="AA398" s="323">
        <v>204.5</v>
      </c>
      <c r="AB398" s="323">
        <v>129</v>
      </c>
    </row>
    <row r="399" spans="1:28">
      <c r="A399" s="264">
        <v>38190</v>
      </c>
      <c r="B399" s="264">
        <v>38190</v>
      </c>
      <c r="C399" s="267">
        <v>208.5</v>
      </c>
      <c r="D399" s="267">
        <v>128.5</v>
      </c>
      <c r="E399" s="267"/>
      <c r="F399" s="1"/>
      <c r="Z399" s="322">
        <v>38218</v>
      </c>
      <c r="AA399" s="323">
        <v>190.5</v>
      </c>
      <c r="AB399" s="323">
        <v>126.5</v>
      </c>
    </row>
    <row r="400" spans="1:28">
      <c r="A400" s="264">
        <v>38197</v>
      </c>
      <c r="B400" s="264">
        <v>38197</v>
      </c>
      <c r="C400" s="267">
        <v>213</v>
      </c>
      <c r="D400" s="267">
        <v>123</v>
      </c>
      <c r="E400" s="267"/>
      <c r="F400" s="1"/>
      <c r="Z400" s="322">
        <v>38225</v>
      </c>
      <c r="AA400" s="323">
        <v>204</v>
      </c>
      <c r="AB400" s="323">
        <v>126.5</v>
      </c>
    </row>
    <row r="401" spans="1:28">
      <c r="A401" s="264">
        <v>38204</v>
      </c>
      <c r="B401" s="264">
        <v>38204</v>
      </c>
      <c r="C401" s="267">
        <v>209.5</v>
      </c>
      <c r="D401" s="267">
        <v>122</v>
      </c>
      <c r="E401" s="267"/>
      <c r="F401" s="1"/>
      <c r="Z401" s="322">
        <v>38232</v>
      </c>
      <c r="AA401" s="323">
        <v>213</v>
      </c>
      <c r="AB401" s="323">
        <v>126.5</v>
      </c>
    </row>
    <row r="402" spans="1:28">
      <c r="A402" s="264">
        <v>38211</v>
      </c>
      <c r="B402" s="264">
        <v>38211</v>
      </c>
      <c r="C402" s="267">
        <v>204.5</v>
      </c>
      <c r="D402" s="267">
        <v>129</v>
      </c>
      <c r="E402" s="267"/>
      <c r="F402" s="1"/>
      <c r="Z402" s="322">
        <v>38239</v>
      </c>
      <c r="AA402" s="323">
        <v>213.5</v>
      </c>
      <c r="AB402" s="323">
        <v>131</v>
      </c>
    </row>
    <row r="403" spans="1:28">
      <c r="A403" s="264">
        <v>38218</v>
      </c>
      <c r="B403" s="264">
        <v>38218</v>
      </c>
      <c r="C403" s="267">
        <v>190.5</v>
      </c>
      <c r="D403" s="267">
        <v>129</v>
      </c>
      <c r="E403" s="267"/>
      <c r="F403" s="1"/>
      <c r="Z403" s="322">
        <v>38246</v>
      </c>
      <c r="AA403" s="323">
        <v>216</v>
      </c>
      <c r="AB403" s="323">
        <v>141</v>
      </c>
    </row>
    <row r="404" spans="1:28">
      <c r="A404" s="264">
        <v>38225</v>
      </c>
      <c r="B404" s="264">
        <v>38225</v>
      </c>
      <c r="C404" s="267">
        <v>204</v>
      </c>
      <c r="D404" s="267">
        <v>126.5</v>
      </c>
      <c r="E404" s="267"/>
      <c r="F404" s="1"/>
      <c r="Z404" s="322">
        <v>38253</v>
      </c>
      <c r="AA404" s="323">
        <v>220</v>
      </c>
      <c r="AB404" s="323">
        <v>148.5</v>
      </c>
    </row>
    <row r="405" spans="1:28">
      <c r="A405" s="264">
        <v>38232</v>
      </c>
      <c r="B405" s="264">
        <v>38232</v>
      </c>
      <c r="C405" s="267">
        <v>213</v>
      </c>
      <c r="D405" s="267">
        <v>126.5</v>
      </c>
      <c r="E405" s="267"/>
      <c r="F405" s="1"/>
      <c r="Z405" s="322">
        <v>38260</v>
      </c>
      <c r="AA405" s="323">
        <v>236</v>
      </c>
      <c r="AB405" s="323">
        <v>149.5</v>
      </c>
    </row>
    <row r="406" spans="1:28">
      <c r="A406" s="264">
        <v>38239</v>
      </c>
      <c r="B406" s="264">
        <v>38239</v>
      </c>
      <c r="C406" s="267">
        <v>213.5</v>
      </c>
      <c r="D406" s="267">
        <v>126.5</v>
      </c>
      <c r="E406" s="267"/>
      <c r="F406" s="1"/>
      <c r="Z406" s="322">
        <v>38267</v>
      </c>
      <c r="AA406" s="323">
        <v>239.5</v>
      </c>
      <c r="AB406" s="323">
        <v>155.5</v>
      </c>
    </row>
    <row r="407" spans="1:28">
      <c r="A407" s="264">
        <v>38246</v>
      </c>
      <c r="B407" s="264">
        <v>38246</v>
      </c>
      <c r="C407" s="267">
        <v>216</v>
      </c>
      <c r="D407" s="267">
        <v>131</v>
      </c>
      <c r="E407" s="267"/>
      <c r="F407" s="1"/>
      <c r="Z407" s="322">
        <v>38274</v>
      </c>
      <c r="AA407" s="323">
        <v>239.5</v>
      </c>
      <c r="AB407" s="323">
        <v>156</v>
      </c>
    </row>
    <row r="408" spans="1:28">
      <c r="A408" s="264">
        <v>38253</v>
      </c>
      <c r="B408" s="264">
        <v>38253</v>
      </c>
      <c r="C408" s="267">
        <v>220</v>
      </c>
      <c r="D408" s="267">
        <v>141</v>
      </c>
      <c r="E408" s="267"/>
      <c r="F408" s="1"/>
      <c r="Z408" s="322">
        <v>38281</v>
      </c>
      <c r="AA408" s="323">
        <v>234</v>
      </c>
      <c r="AB408" s="323">
        <v>153.5</v>
      </c>
    </row>
    <row r="409" spans="1:28">
      <c r="A409" s="264">
        <v>38260</v>
      </c>
      <c r="B409" s="264">
        <v>38260</v>
      </c>
      <c r="C409" s="267">
        <v>236</v>
      </c>
      <c r="D409" s="267">
        <v>148.5</v>
      </c>
      <c r="E409" s="267"/>
      <c r="F409" s="1"/>
      <c r="Z409" s="322">
        <v>38288</v>
      </c>
      <c r="AA409" s="323">
        <v>229.5</v>
      </c>
      <c r="AB409" s="323">
        <v>151.5</v>
      </c>
    </row>
    <row r="410" spans="1:28">
      <c r="A410" s="264">
        <v>38267</v>
      </c>
      <c r="B410" s="264">
        <v>38267</v>
      </c>
      <c r="C410" s="267">
        <v>239.5</v>
      </c>
      <c r="D410" s="267">
        <v>149.5</v>
      </c>
      <c r="E410" s="267"/>
      <c r="F410" s="1"/>
      <c r="Z410" s="322">
        <v>38295</v>
      </c>
      <c r="AA410" s="323">
        <v>212.5</v>
      </c>
      <c r="AB410" s="323">
        <v>148</v>
      </c>
    </row>
    <row r="411" spans="1:28">
      <c r="A411" s="264">
        <v>38274</v>
      </c>
      <c r="B411" s="264">
        <v>38274</v>
      </c>
      <c r="C411" s="267">
        <v>239.5</v>
      </c>
      <c r="D411" s="267">
        <v>155.5</v>
      </c>
      <c r="E411" s="267"/>
      <c r="F411" s="1"/>
      <c r="Z411" s="322">
        <v>38302</v>
      </c>
      <c r="AA411" s="323">
        <v>196</v>
      </c>
      <c r="AB411" s="323">
        <v>148</v>
      </c>
    </row>
    <row r="412" spans="1:28">
      <c r="A412" s="264">
        <v>38281</v>
      </c>
      <c r="B412" s="264">
        <v>38281</v>
      </c>
      <c r="C412" s="267">
        <v>234</v>
      </c>
      <c r="D412" s="267">
        <v>156</v>
      </c>
      <c r="E412" s="267"/>
      <c r="Z412" s="322">
        <v>38309</v>
      </c>
      <c r="AA412" s="323">
        <v>212</v>
      </c>
      <c r="AB412" s="323">
        <v>148</v>
      </c>
    </row>
    <row r="413" spans="1:28">
      <c r="A413" s="264">
        <v>38288</v>
      </c>
      <c r="B413" s="264">
        <v>38288</v>
      </c>
      <c r="C413" s="267">
        <v>229.5</v>
      </c>
      <c r="D413" s="267">
        <v>153.5</v>
      </c>
      <c r="E413" s="267"/>
      <c r="Z413" s="322">
        <v>38316</v>
      </c>
      <c r="AA413" s="323">
        <v>192.5</v>
      </c>
      <c r="AB413" s="323">
        <v>148</v>
      </c>
    </row>
    <row r="414" spans="1:28">
      <c r="A414" s="264">
        <v>38295</v>
      </c>
      <c r="B414" s="264">
        <v>38295</v>
      </c>
      <c r="C414" s="267">
        <v>212.5</v>
      </c>
      <c r="D414" s="267">
        <v>151.5</v>
      </c>
      <c r="E414" s="267"/>
      <c r="Z414" s="322">
        <v>38323</v>
      </c>
      <c r="AA414" s="323">
        <v>187.5</v>
      </c>
      <c r="AB414" s="323">
        <v>148</v>
      </c>
    </row>
    <row r="415" spans="1:28">
      <c r="A415" s="264">
        <v>38302</v>
      </c>
      <c r="B415" s="264">
        <v>38302</v>
      </c>
      <c r="C415" s="267">
        <v>196</v>
      </c>
      <c r="D415" s="267">
        <v>148</v>
      </c>
      <c r="E415" s="267"/>
      <c r="Z415" s="322">
        <v>38330</v>
      </c>
      <c r="AA415" s="323">
        <v>180</v>
      </c>
      <c r="AB415" s="323">
        <v>137.5</v>
      </c>
    </row>
    <row r="416" spans="1:28">
      <c r="A416" s="264">
        <v>38309</v>
      </c>
      <c r="B416" s="264">
        <v>38309</v>
      </c>
      <c r="C416" s="267">
        <v>212</v>
      </c>
      <c r="D416" s="267">
        <v>148</v>
      </c>
      <c r="E416" s="267"/>
      <c r="Z416" s="322">
        <v>38337</v>
      </c>
      <c r="AA416" s="323">
        <v>177</v>
      </c>
      <c r="AB416" s="323">
        <v>137.5</v>
      </c>
    </row>
    <row r="417" spans="1:28">
      <c r="A417" s="264">
        <v>38316</v>
      </c>
      <c r="B417" s="264">
        <v>38316</v>
      </c>
      <c r="C417" s="267">
        <v>192.5</v>
      </c>
      <c r="D417" s="267">
        <v>148</v>
      </c>
      <c r="E417" s="267"/>
      <c r="Z417" s="322">
        <v>38344</v>
      </c>
      <c r="AA417" s="323">
        <v>175</v>
      </c>
      <c r="AB417" s="323">
        <v>125.5</v>
      </c>
    </row>
    <row r="418" spans="1:28">
      <c r="A418" s="264">
        <v>38323</v>
      </c>
      <c r="B418" s="264">
        <v>38323</v>
      </c>
      <c r="C418" s="267">
        <v>187.5</v>
      </c>
      <c r="D418" s="267">
        <v>148</v>
      </c>
      <c r="E418" s="267"/>
      <c r="Z418" s="322">
        <v>38358</v>
      </c>
      <c r="AA418" s="323">
        <v>187.5</v>
      </c>
      <c r="AB418" s="323">
        <v>135.5</v>
      </c>
    </row>
    <row r="419" spans="1:28">
      <c r="A419" s="264">
        <v>38330</v>
      </c>
      <c r="B419" s="264">
        <v>38330</v>
      </c>
      <c r="C419" s="267">
        <v>180</v>
      </c>
      <c r="D419" s="267">
        <v>148</v>
      </c>
      <c r="E419" s="267"/>
      <c r="Z419" s="322">
        <v>38365</v>
      </c>
      <c r="AA419" s="323">
        <v>193.5</v>
      </c>
      <c r="AB419" s="323">
        <v>128</v>
      </c>
    </row>
    <row r="420" spans="1:28">
      <c r="A420" s="264">
        <v>38337</v>
      </c>
      <c r="B420" s="264">
        <v>38337</v>
      </c>
      <c r="C420" s="267">
        <v>177</v>
      </c>
      <c r="D420" s="267">
        <v>137.5</v>
      </c>
      <c r="E420" s="267"/>
      <c r="Z420" s="322">
        <v>38372</v>
      </c>
      <c r="AA420" s="323">
        <v>184</v>
      </c>
      <c r="AB420" s="323">
        <v>128</v>
      </c>
    </row>
    <row r="421" spans="1:28">
      <c r="A421" s="264">
        <v>38344</v>
      </c>
      <c r="B421" s="264">
        <v>38344</v>
      </c>
      <c r="C421" s="267">
        <v>175</v>
      </c>
      <c r="D421" s="267">
        <v>137.5</v>
      </c>
      <c r="E421" s="267"/>
      <c r="Z421" s="322">
        <v>38379</v>
      </c>
      <c r="AA421" s="323">
        <v>174.5</v>
      </c>
      <c r="AB421" s="323">
        <v>128</v>
      </c>
    </row>
    <row r="422" spans="1:28">
      <c r="A422" s="264">
        <v>38358</v>
      </c>
      <c r="B422" s="264">
        <v>38358</v>
      </c>
      <c r="C422" s="267">
        <v>187.5</v>
      </c>
      <c r="D422" s="267">
        <v>125.5</v>
      </c>
      <c r="E422" s="267"/>
      <c r="Z422" s="322">
        <v>38386</v>
      </c>
      <c r="AA422" s="323">
        <v>171.5</v>
      </c>
      <c r="AB422" s="323">
        <v>128</v>
      </c>
    </row>
    <row r="423" spans="1:28">
      <c r="A423" s="264">
        <v>38365</v>
      </c>
      <c r="B423" s="264">
        <v>38365</v>
      </c>
      <c r="C423" s="267">
        <v>193.5</v>
      </c>
      <c r="D423" s="267">
        <v>135.5</v>
      </c>
      <c r="E423" s="267"/>
      <c r="Z423" s="322">
        <v>38393</v>
      </c>
      <c r="AA423" s="323">
        <v>170</v>
      </c>
      <c r="AB423" s="323">
        <v>142.5</v>
      </c>
    </row>
    <row r="424" spans="1:28">
      <c r="A424" s="264">
        <v>38372</v>
      </c>
      <c r="B424" s="264">
        <v>38372</v>
      </c>
      <c r="C424" s="267">
        <v>184</v>
      </c>
      <c r="D424" s="267">
        <v>128</v>
      </c>
      <c r="E424" s="267"/>
      <c r="F424" s="1"/>
      <c r="Z424" s="322">
        <v>38400</v>
      </c>
      <c r="AA424" s="323">
        <v>181.5</v>
      </c>
      <c r="AB424" s="323">
        <v>151.5</v>
      </c>
    </row>
    <row r="425" spans="1:28">
      <c r="A425" s="264">
        <v>38379</v>
      </c>
      <c r="B425" s="264">
        <v>38379</v>
      </c>
      <c r="C425" s="267">
        <v>174.5</v>
      </c>
      <c r="D425" s="267">
        <v>128</v>
      </c>
      <c r="E425" s="267"/>
      <c r="F425" s="1"/>
      <c r="Z425" s="322">
        <v>38407</v>
      </c>
      <c r="AA425" s="323">
        <v>192</v>
      </c>
      <c r="AB425" s="323">
        <v>155</v>
      </c>
    </row>
    <row r="426" spans="1:28">
      <c r="A426" s="264">
        <v>38386</v>
      </c>
      <c r="B426" s="264">
        <v>38386</v>
      </c>
      <c r="C426" s="267">
        <v>171.5</v>
      </c>
      <c r="D426" s="267">
        <v>128</v>
      </c>
      <c r="E426" s="267"/>
      <c r="F426" s="1"/>
      <c r="Z426" s="322">
        <v>38414</v>
      </c>
      <c r="AA426" s="323">
        <v>197.5</v>
      </c>
      <c r="AB426" s="323">
        <v>156.5</v>
      </c>
    </row>
    <row r="427" spans="1:28">
      <c r="A427" s="264">
        <v>38393</v>
      </c>
      <c r="B427" s="264">
        <v>38393</v>
      </c>
      <c r="C427" s="267">
        <v>170</v>
      </c>
      <c r="D427" s="267">
        <v>128</v>
      </c>
      <c r="E427" s="267"/>
      <c r="F427" s="1"/>
      <c r="Z427" s="322">
        <v>38421</v>
      </c>
      <c r="AA427" s="323">
        <v>201</v>
      </c>
      <c r="AB427" s="323">
        <v>156.5</v>
      </c>
    </row>
    <row r="428" spans="1:28">
      <c r="A428" s="264">
        <v>38400</v>
      </c>
      <c r="B428" s="264">
        <v>38400</v>
      </c>
      <c r="C428" s="267">
        <v>181.5</v>
      </c>
      <c r="D428" s="267">
        <v>142.5</v>
      </c>
      <c r="E428" s="267"/>
      <c r="F428" s="1"/>
      <c r="Z428" s="322">
        <v>38428</v>
      </c>
      <c r="AA428" s="323">
        <v>215</v>
      </c>
      <c r="AB428" s="323">
        <v>151</v>
      </c>
    </row>
    <row r="429" spans="1:28">
      <c r="A429" s="264">
        <v>38407</v>
      </c>
      <c r="B429" s="264">
        <v>38407</v>
      </c>
      <c r="C429" s="267">
        <v>192</v>
      </c>
      <c r="D429" s="267">
        <v>151.5</v>
      </c>
      <c r="E429" s="267"/>
      <c r="F429" s="1"/>
      <c r="Z429" s="322">
        <v>38435</v>
      </c>
      <c r="AA429" s="323">
        <v>215</v>
      </c>
      <c r="AB429" s="323">
        <v>237.5</v>
      </c>
    </row>
    <row r="430" spans="1:28">
      <c r="A430" s="264">
        <v>38414</v>
      </c>
      <c r="B430" s="264">
        <v>38414</v>
      </c>
      <c r="C430" s="267">
        <v>197.5</v>
      </c>
      <c r="D430" s="267">
        <v>155</v>
      </c>
      <c r="E430" s="267"/>
      <c r="F430" s="1"/>
      <c r="Z430" s="322">
        <v>38442</v>
      </c>
      <c r="AA430" s="323">
        <v>222.5</v>
      </c>
      <c r="AB430" s="323">
        <v>146.5</v>
      </c>
    </row>
    <row r="431" spans="1:28">
      <c r="A431" s="264">
        <v>38421</v>
      </c>
      <c r="B431" s="264">
        <v>38421</v>
      </c>
      <c r="C431" s="267">
        <v>201</v>
      </c>
      <c r="D431" s="267">
        <v>156.5</v>
      </c>
      <c r="E431" s="267"/>
      <c r="F431" s="1"/>
      <c r="Z431" s="322">
        <v>38449</v>
      </c>
      <c r="AA431" s="323">
        <v>228.5</v>
      </c>
      <c r="AB431" s="323">
        <v>142.5</v>
      </c>
    </row>
    <row r="432" spans="1:28">
      <c r="A432" s="264">
        <v>38428</v>
      </c>
      <c r="B432" s="264">
        <v>38428</v>
      </c>
      <c r="C432" s="267">
        <v>215</v>
      </c>
      <c r="D432" s="267">
        <v>156.5</v>
      </c>
      <c r="E432" s="267"/>
      <c r="F432" s="1"/>
      <c r="Z432" s="322">
        <v>38456</v>
      </c>
      <c r="AA432" s="323">
        <v>238.5</v>
      </c>
      <c r="AB432" s="323">
        <v>141</v>
      </c>
    </row>
    <row r="433" spans="1:28">
      <c r="A433" s="264">
        <v>38435</v>
      </c>
      <c r="B433" s="264">
        <v>38435</v>
      </c>
      <c r="C433" s="267">
        <v>215</v>
      </c>
      <c r="D433" s="267">
        <v>151</v>
      </c>
      <c r="E433" s="267"/>
      <c r="F433" s="1"/>
      <c r="Z433" s="322">
        <v>38463</v>
      </c>
      <c r="AA433" s="323">
        <v>247.5</v>
      </c>
      <c r="AB433" s="323">
        <v>147.5</v>
      </c>
    </row>
    <row r="434" spans="1:28">
      <c r="A434" s="264">
        <v>38442</v>
      </c>
      <c r="B434" s="264">
        <v>38442</v>
      </c>
      <c r="C434" s="267">
        <v>222.5</v>
      </c>
      <c r="D434" s="267">
        <v>237.5</v>
      </c>
      <c r="E434" s="267"/>
      <c r="F434" s="1"/>
      <c r="Z434" s="322">
        <v>38470</v>
      </c>
      <c r="AA434" s="323">
        <v>234.5</v>
      </c>
      <c r="AB434" s="323">
        <v>150</v>
      </c>
    </row>
    <row r="435" spans="1:28">
      <c r="A435" s="264">
        <v>38449</v>
      </c>
      <c r="B435" s="264">
        <v>38449</v>
      </c>
      <c r="C435" s="267">
        <v>228.5</v>
      </c>
      <c r="D435" s="267">
        <v>146.5</v>
      </c>
      <c r="E435" s="267"/>
      <c r="F435" s="1"/>
      <c r="Z435" s="322">
        <v>38477</v>
      </c>
      <c r="AA435" s="323">
        <v>257.5</v>
      </c>
      <c r="AB435" s="323">
        <v>150</v>
      </c>
    </row>
    <row r="436" spans="1:28">
      <c r="A436" s="264">
        <v>38456</v>
      </c>
      <c r="B436" s="264">
        <v>38456</v>
      </c>
      <c r="C436" s="267">
        <v>238.5</v>
      </c>
      <c r="D436" s="267">
        <v>142.5</v>
      </c>
      <c r="E436" s="267"/>
      <c r="F436" s="1"/>
      <c r="Z436" s="322">
        <v>38484</v>
      </c>
      <c r="AA436" s="323">
        <v>255</v>
      </c>
      <c r="AB436" s="323">
        <v>142.5</v>
      </c>
    </row>
    <row r="437" spans="1:28">
      <c r="A437" s="264">
        <v>38463</v>
      </c>
      <c r="B437" s="264">
        <v>38463</v>
      </c>
      <c r="C437" s="267">
        <v>247.5</v>
      </c>
      <c r="D437" s="267">
        <v>141</v>
      </c>
      <c r="E437" s="267"/>
      <c r="F437" s="1"/>
      <c r="Z437" s="322">
        <v>38491</v>
      </c>
      <c r="AA437" s="323">
        <v>255</v>
      </c>
      <c r="AB437" s="323">
        <v>143</v>
      </c>
    </row>
    <row r="438" spans="1:28">
      <c r="A438" s="264">
        <v>38470</v>
      </c>
      <c r="B438" s="264">
        <v>38470</v>
      </c>
      <c r="C438" s="267">
        <v>234.5</v>
      </c>
      <c r="D438" s="267">
        <v>147.5</v>
      </c>
      <c r="E438" s="267"/>
      <c r="F438" s="1"/>
      <c r="Z438" s="322">
        <v>38498</v>
      </c>
      <c r="AA438" s="323">
        <v>240</v>
      </c>
      <c r="AB438" s="323">
        <v>142.5</v>
      </c>
    </row>
    <row r="439" spans="1:28">
      <c r="A439" s="264">
        <v>38477</v>
      </c>
      <c r="B439" s="264">
        <v>38477</v>
      </c>
      <c r="C439" s="267">
        <v>257.5</v>
      </c>
      <c r="D439" s="267">
        <v>150</v>
      </c>
      <c r="E439" s="267"/>
      <c r="F439" s="1"/>
      <c r="Z439" s="322">
        <v>38505</v>
      </c>
      <c r="AA439" s="323">
        <v>224.5</v>
      </c>
      <c r="AB439" s="323">
        <v>107.5</v>
      </c>
    </row>
    <row r="440" spans="1:28">
      <c r="A440" s="264">
        <v>38484</v>
      </c>
      <c r="B440" s="264">
        <v>38484</v>
      </c>
      <c r="C440" s="267">
        <v>255</v>
      </c>
      <c r="D440" s="267">
        <v>150</v>
      </c>
      <c r="E440" s="267"/>
      <c r="F440" s="1"/>
      <c r="Z440" s="322">
        <v>38519</v>
      </c>
      <c r="AA440" s="323">
        <v>203</v>
      </c>
      <c r="AB440" s="323">
        <v>102</v>
      </c>
    </row>
    <row r="441" spans="1:28">
      <c r="A441" s="264">
        <v>38491</v>
      </c>
      <c r="B441" s="264">
        <v>38491</v>
      </c>
      <c r="C441" s="267">
        <v>255</v>
      </c>
      <c r="D441" s="267">
        <v>142.5</v>
      </c>
      <c r="E441" s="267"/>
      <c r="F441" s="1"/>
      <c r="Z441" s="322">
        <v>38526</v>
      </c>
      <c r="AA441" s="323">
        <v>206.5</v>
      </c>
      <c r="AB441" s="323">
        <v>119</v>
      </c>
    </row>
    <row r="442" spans="1:28">
      <c r="A442" s="264">
        <v>38498</v>
      </c>
      <c r="B442" s="264">
        <v>38498</v>
      </c>
      <c r="C442" s="267">
        <v>240</v>
      </c>
      <c r="D442" s="267">
        <v>143</v>
      </c>
      <c r="E442" s="267"/>
      <c r="F442" s="1"/>
      <c r="Z442" s="322">
        <v>38533</v>
      </c>
      <c r="AA442" s="323">
        <v>220</v>
      </c>
      <c r="AB442" s="323">
        <v>116.5</v>
      </c>
    </row>
    <row r="443" spans="1:28">
      <c r="A443" s="264">
        <v>38505</v>
      </c>
      <c r="B443" s="264">
        <v>38505</v>
      </c>
      <c r="C443" s="267">
        <v>224.5</v>
      </c>
      <c r="D443" s="267">
        <v>142.5</v>
      </c>
      <c r="E443" s="267"/>
      <c r="F443" s="1"/>
      <c r="Z443" s="322">
        <v>38540</v>
      </c>
      <c r="AA443" s="323">
        <v>219.5</v>
      </c>
      <c r="AB443" s="323">
        <v>112.5</v>
      </c>
    </row>
    <row r="444" spans="1:28">
      <c r="A444" s="264">
        <v>38519</v>
      </c>
      <c r="B444" s="264">
        <v>38519</v>
      </c>
      <c r="C444" s="267">
        <v>203</v>
      </c>
      <c r="D444" s="267">
        <v>107.5</v>
      </c>
      <c r="E444" s="267"/>
      <c r="F444" s="1"/>
      <c r="Z444" s="322">
        <v>38547</v>
      </c>
      <c r="AA444" s="323">
        <v>213</v>
      </c>
      <c r="AB444" s="323">
        <v>120</v>
      </c>
    </row>
    <row r="445" spans="1:28">
      <c r="A445" s="264">
        <v>38526</v>
      </c>
      <c r="B445" s="264">
        <v>38526</v>
      </c>
      <c r="C445" s="267">
        <v>206.5</v>
      </c>
      <c r="D445" s="267">
        <v>102</v>
      </c>
      <c r="E445" s="267"/>
      <c r="F445" s="1"/>
      <c r="Z445" s="322">
        <v>38554</v>
      </c>
      <c r="AA445" s="323">
        <v>205.5</v>
      </c>
      <c r="AB445" s="323">
        <v>122.5</v>
      </c>
    </row>
    <row r="446" spans="1:28">
      <c r="A446" s="264">
        <v>38533</v>
      </c>
      <c r="B446" s="264">
        <v>38533</v>
      </c>
      <c r="C446" s="267">
        <v>220</v>
      </c>
      <c r="D446" s="267">
        <v>119</v>
      </c>
      <c r="E446" s="267"/>
      <c r="F446" s="1"/>
      <c r="Z446" s="322">
        <v>38561</v>
      </c>
      <c r="AA446" s="323">
        <v>200</v>
      </c>
      <c r="AB446" s="323">
        <v>122.5</v>
      </c>
    </row>
    <row r="447" spans="1:28">
      <c r="A447" s="264">
        <v>38540</v>
      </c>
      <c r="B447" s="264">
        <v>38540</v>
      </c>
      <c r="C447" s="267">
        <v>219.5</v>
      </c>
      <c r="D447" s="267">
        <v>116.5</v>
      </c>
      <c r="E447" s="267"/>
      <c r="F447" s="1"/>
      <c r="Z447" s="322">
        <v>38568</v>
      </c>
      <c r="AA447" s="323">
        <v>200</v>
      </c>
      <c r="AB447" s="323">
        <v>114.5</v>
      </c>
    </row>
    <row r="448" spans="1:28">
      <c r="A448" s="264">
        <v>38547</v>
      </c>
      <c r="B448" s="264">
        <v>38547</v>
      </c>
      <c r="C448" s="267">
        <v>213</v>
      </c>
      <c r="D448" s="267">
        <v>112.5</v>
      </c>
      <c r="E448" s="267"/>
      <c r="F448" s="1"/>
      <c r="Z448" s="322">
        <v>38575</v>
      </c>
      <c r="AA448" s="323">
        <v>201</v>
      </c>
      <c r="AB448" s="323">
        <v>120</v>
      </c>
    </row>
    <row r="449" spans="1:28">
      <c r="A449" s="264">
        <v>38554</v>
      </c>
      <c r="B449" s="264">
        <v>38554</v>
      </c>
      <c r="C449" s="267">
        <v>205.5</v>
      </c>
      <c r="D449" s="267">
        <v>120</v>
      </c>
      <c r="E449" s="267"/>
      <c r="F449" s="1"/>
      <c r="Z449" s="322">
        <v>38582</v>
      </c>
      <c r="AA449" s="323">
        <v>205</v>
      </c>
      <c r="AB449" s="323">
        <v>119.5</v>
      </c>
    </row>
    <row r="450" spans="1:28">
      <c r="A450" s="264">
        <v>38561</v>
      </c>
      <c r="B450" s="264">
        <v>38561</v>
      </c>
      <c r="C450" s="267">
        <v>200</v>
      </c>
      <c r="D450" s="267">
        <v>122.5</v>
      </c>
      <c r="E450" s="267"/>
      <c r="F450" s="1"/>
      <c r="Z450" s="322">
        <v>38589</v>
      </c>
      <c r="AA450" s="323">
        <v>202</v>
      </c>
      <c r="AB450" s="323">
        <v>135</v>
      </c>
    </row>
    <row r="451" spans="1:28">
      <c r="A451" s="264">
        <v>38568</v>
      </c>
      <c r="B451" s="264">
        <v>38568</v>
      </c>
      <c r="C451" s="267">
        <v>200</v>
      </c>
      <c r="D451" s="267">
        <v>122.5</v>
      </c>
      <c r="E451" s="267"/>
      <c r="F451" s="1"/>
      <c r="Z451" s="322">
        <v>38596</v>
      </c>
      <c r="AA451" s="323">
        <v>210</v>
      </c>
      <c r="AB451" s="323">
        <v>145.5</v>
      </c>
    </row>
    <row r="452" spans="1:28">
      <c r="A452" s="264">
        <v>38575</v>
      </c>
      <c r="B452" s="264">
        <v>38575</v>
      </c>
      <c r="C452" s="267">
        <v>201</v>
      </c>
      <c r="D452" s="267">
        <v>114.5</v>
      </c>
      <c r="E452" s="267"/>
      <c r="F452" s="1"/>
      <c r="Z452" s="322">
        <v>38603</v>
      </c>
      <c r="AA452" s="323">
        <v>204</v>
      </c>
      <c r="AB452" s="323">
        <v>152.5</v>
      </c>
    </row>
    <row r="453" spans="1:28">
      <c r="A453" s="264">
        <v>38582</v>
      </c>
      <c r="B453" s="264">
        <v>38582</v>
      </c>
      <c r="C453" s="267">
        <v>205</v>
      </c>
      <c r="D453" s="267">
        <v>120</v>
      </c>
      <c r="E453" s="267"/>
      <c r="F453" s="1"/>
      <c r="Z453" s="322">
        <v>38610</v>
      </c>
      <c r="AA453" s="323">
        <v>204</v>
      </c>
      <c r="AB453" s="323">
        <v>141</v>
      </c>
    </row>
    <row r="454" spans="1:28">
      <c r="A454" s="264">
        <v>38589</v>
      </c>
      <c r="B454" s="264">
        <v>38589</v>
      </c>
      <c r="C454" s="267">
        <v>202</v>
      </c>
      <c r="D454" s="267">
        <v>119.5</v>
      </c>
      <c r="E454" s="267"/>
      <c r="F454" s="1"/>
      <c r="Z454" s="322">
        <v>38617</v>
      </c>
      <c r="AA454" s="323">
        <v>201.5</v>
      </c>
      <c r="AB454" s="323">
        <v>141</v>
      </c>
    </row>
    <row r="455" spans="1:28">
      <c r="A455" s="264">
        <v>38596</v>
      </c>
      <c r="B455" s="264">
        <v>38596</v>
      </c>
      <c r="C455" s="267">
        <v>210</v>
      </c>
      <c r="D455" s="267">
        <v>135</v>
      </c>
      <c r="E455" s="267"/>
      <c r="F455" s="1"/>
      <c r="Z455" s="322">
        <v>38624</v>
      </c>
      <c r="AA455" s="323">
        <v>203.5</v>
      </c>
      <c r="AB455" s="323">
        <v>141</v>
      </c>
    </row>
    <row r="456" spans="1:28">
      <c r="A456" s="264">
        <v>38603</v>
      </c>
      <c r="B456" s="264">
        <v>38603</v>
      </c>
      <c r="C456" s="267">
        <v>204</v>
      </c>
      <c r="D456" s="267">
        <v>145.5</v>
      </c>
      <c r="E456" s="267"/>
      <c r="F456" s="1"/>
      <c r="Z456" s="322">
        <v>38631</v>
      </c>
      <c r="AA456" s="323">
        <v>211</v>
      </c>
      <c r="AB456" s="323">
        <v>141</v>
      </c>
    </row>
    <row r="457" spans="1:28">
      <c r="A457" s="264">
        <v>38610</v>
      </c>
      <c r="B457" s="264">
        <v>38610</v>
      </c>
      <c r="C457" s="267">
        <v>204</v>
      </c>
      <c r="D457" s="267">
        <v>152.5</v>
      </c>
      <c r="E457" s="267"/>
      <c r="F457" s="1"/>
      <c r="Z457" s="322">
        <v>38638</v>
      </c>
      <c r="AA457" s="323">
        <v>211.5</v>
      </c>
      <c r="AB457" s="323">
        <v>132.5</v>
      </c>
    </row>
    <row r="458" spans="1:28">
      <c r="A458" s="264">
        <v>38617</v>
      </c>
      <c r="B458" s="264">
        <v>38617</v>
      </c>
      <c r="C458" s="267">
        <v>201.5</v>
      </c>
      <c r="D458" s="267">
        <v>141</v>
      </c>
      <c r="E458" s="267"/>
      <c r="F458" s="1"/>
      <c r="Z458" s="322">
        <v>38645</v>
      </c>
      <c r="AA458" s="323">
        <v>212.5</v>
      </c>
      <c r="AB458" s="323">
        <v>127.5</v>
      </c>
    </row>
    <row r="459" spans="1:28">
      <c r="A459" s="264">
        <v>38624</v>
      </c>
      <c r="B459" s="264">
        <v>38624</v>
      </c>
      <c r="C459" s="267">
        <v>203.5</v>
      </c>
      <c r="D459" s="267">
        <v>141</v>
      </c>
      <c r="E459" s="267"/>
      <c r="F459" s="1"/>
      <c r="Z459" s="322">
        <v>38652</v>
      </c>
      <c r="AA459" s="323">
        <v>221</v>
      </c>
      <c r="AB459" s="323">
        <v>134.5</v>
      </c>
    </row>
    <row r="460" spans="1:28">
      <c r="A460" s="264">
        <v>38631</v>
      </c>
      <c r="B460" s="264">
        <v>38631</v>
      </c>
      <c r="C460" s="267">
        <v>211</v>
      </c>
      <c r="D460" s="267">
        <v>141</v>
      </c>
      <c r="E460" s="267"/>
      <c r="F460" s="1"/>
      <c r="Z460" s="322">
        <v>38659</v>
      </c>
      <c r="AA460" s="323">
        <v>224</v>
      </c>
      <c r="AB460" s="323">
        <v>134</v>
      </c>
    </row>
    <row r="461" spans="1:28">
      <c r="A461" s="264">
        <v>38638</v>
      </c>
      <c r="B461" s="264">
        <v>38638</v>
      </c>
      <c r="C461" s="267">
        <v>211.5</v>
      </c>
      <c r="D461" s="267">
        <v>141</v>
      </c>
      <c r="E461" s="267"/>
      <c r="F461" s="1"/>
      <c r="Z461" s="322">
        <v>38666</v>
      </c>
      <c r="AA461" s="323">
        <v>220</v>
      </c>
      <c r="AB461" s="323">
        <v>134</v>
      </c>
    </row>
    <row r="462" spans="1:28">
      <c r="A462" s="264">
        <v>38645</v>
      </c>
      <c r="B462" s="264">
        <v>38645</v>
      </c>
      <c r="C462" s="267">
        <v>212.5</v>
      </c>
      <c r="D462" s="267">
        <v>132.5</v>
      </c>
      <c r="E462" s="267"/>
      <c r="F462" s="1"/>
      <c r="Z462" s="322">
        <v>38673</v>
      </c>
      <c r="AA462" s="323">
        <v>216.5</v>
      </c>
      <c r="AB462" s="323">
        <v>131.5</v>
      </c>
    </row>
    <row r="463" spans="1:28">
      <c r="A463" s="264">
        <v>38652</v>
      </c>
      <c r="B463" s="264">
        <v>38652</v>
      </c>
      <c r="C463" s="267">
        <v>221</v>
      </c>
      <c r="D463" s="267">
        <v>127.5</v>
      </c>
      <c r="E463" s="267"/>
      <c r="F463" s="1"/>
      <c r="Z463" s="322">
        <v>38680</v>
      </c>
      <c r="AA463" s="323">
        <v>211.5</v>
      </c>
      <c r="AB463" s="323">
        <v>122.5</v>
      </c>
    </row>
    <row r="464" spans="1:28">
      <c r="A464" s="264">
        <v>38659</v>
      </c>
      <c r="B464" s="264">
        <v>38659</v>
      </c>
      <c r="C464" s="267">
        <v>224</v>
      </c>
      <c r="D464" s="267">
        <v>134.5</v>
      </c>
      <c r="E464" s="267"/>
      <c r="F464" s="1"/>
      <c r="Z464" s="322">
        <v>38687</v>
      </c>
      <c r="AA464" s="323">
        <v>207.5</v>
      </c>
      <c r="AB464" s="323">
        <v>122.5</v>
      </c>
    </row>
    <row r="465" spans="1:28">
      <c r="A465" s="264">
        <v>38666</v>
      </c>
      <c r="B465" s="264">
        <v>38666</v>
      </c>
      <c r="C465" s="267">
        <v>220</v>
      </c>
      <c r="D465" s="267">
        <v>134</v>
      </c>
      <c r="E465" s="267"/>
      <c r="F465" s="1"/>
      <c r="Z465" s="322">
        <v>38694</v>
      </c>
      <c r="AA465" s="323">
        <v>197.5</v>
      </c>
      <c r="AB465" s="323">
        <v>137</v>
      </c>
    </row>
    <row r="466" spans="1:28">
      <c r="A466" s="264">
        <v>38673</v>
      </c>
      <c r="B466" s="264">
        <v>38673</v>
      </c>
      <c r="C466" s="267">
        <v>216.5</v>
      </c>
      <c r="D466" s="267">
        <v>134</v>
      </c>
      <c r="E466" s="267"/>
      <c r="F466" s="1"/>
      <c r="Z466" s="322">
        <v>38701</v>
      </c>
      <c r="AA466" s="323">
        <v>195</v>
      </c>
      <c r="AB466" s="323">
        <v>136.5</v>
      </c>
    </row>
    <row r="467" spans="1:28">
      <c r="A467" s="264">
        <v>38680</v>
      </c>
      <c r="B467" s="264">
        <v>38680</v>
      </c>
      <c r="C467" s="267">
        <v>211.5</v>
      </c>
      <c r="D467" s="267">
        <v>131.5</v>
      </c>
      <c r="E467" s="267"/>
      <c r="F467" s="1"/>
      <c r="Z467" s="322">
        <v>38708</v>
      </c>
      <c r="AA467" s="323">
        <v>205</v>
      </c>
      <c r="AB467" s="323">
        <v>132</v>
      </c>
    </row>
    <row r="468" spans="1:28">
      <c r="A468" s="264">
        <v>38687</v>
      </c>
      <c r="B468" s="264">
        <v>38687</v>
      </c>
      <c r="C468" s="267">
        <v>207.5</v>
      </c>
      <c r="D468" s="267">
        <v>122.5</v>
      </c>
      <c r="E468" s="267"/>
      <c r="F468" s="1"/>
      <c r="Z468" s="322">
        <v>38722</v>
      </c>
      <c r="AA468" s="323">
        <v>199</v>
      </c>
      <c r="AB468" s="323">
        <v>139</v>
      </c>
    </row>
    <row r="469" spans="1:28">
      <c r="A469" s="264">
        <v>38694</v>
      </c>
      <c r="B469" s="264">
        <v>38694</v>
      </c>
      <c r="C469" s="267">
        <v>197.5</v>
      </c>
      <c r="D469" s="267">
        <v>122.5</v>
      </c>
      <c r="E469" s="267"/>
      <c r="F469" s="1"/>
      <c r="Z469" s="322">
        <v>38729</v>
      </c>
      <c r="AA469" s="323">
        <v>195.5</v>
      </c>
      <c r="AB469" s="323">
        <v>145</v>
      </c>
    </row>
    <row r="470" spans="1:28">
      <c r="A470" s="264">
        <v>38701</v>
      </c>
      <c r="B470" s="264">
        <v>38701</v>
      </c>
      <c r="C470" s="267">
        <v>195</v>
      </c>
      <c r="D470" s="267">
        <v>137</v>
      </c>
      <c r="E470" s="267"/>
      <c r="F470" s="1"/>
      <c r="Z470" s="322">
        <v>38736</v>
      </c>
      <c r="AA470" s="323">
        <v>189</v>
      </c>
      <c r="AB470" s="323">
        <v>146</v>
      </c>
    </row>
    <row r="471" spans="1:28">
      <c r="A471" s="264">
        <v>38708</v>
      </c>
      <c r="B471" s="264">
        <v>38708</v>
      </c>
      <c r="C471" s="267">
        <v>205</v>
      </c>
      <c r="D471" s="267">
        <v>136.5</v>
      </c>
      <c r="E471" s="267"/>
      <c r="F471" s="1"/>
      <c r="Z471" s="322">
        <v>38743</v>
      </c>
      <c r="AA471" s="323">
        <v>196.5</v>
      </c>
      <c r="AB471" s="323">
        <v>145</v>
      </c>
    </row>
    <row r="472" spans="1:28">
      <c r="A472" s="264">
        <v>38722</v>
      </c>
      <c r="B472" s="264">
        <v>38722</v>
      </c>
      <c r="C472" s="267">
        <v>199</v>
      </c>
      <c r="D472" s="267">
        <v>132</v>
      </c>
      <c r="E472" s="392">
        <v>159</v>
      </c>
      <c r="F472" s="1"/>
      <c r="Z472" s="322">
        <v>38750</v>
      </c>
      <c r="AA472" s="323">
        <v>205</v>
      </c>
      <c r="AB472" s="323">
        <v>155.5</v>
      </c>
    </row>
    <row r="473" spans="1:28">
      <c r="A473" s="264">
        <v>38729</v>
      </c>
      <c r="B473" s="264">
        <v>38729</v>
      </c>
      <c r="C473" s="267">
        <v>195.5</v>
      </c>
      <c r="D473" s="267">
        <v>139</v>
      </c>
      <c r="E473" s="392">
        <v>159</v>
      </c>
      <c r="F473" s="1"/>
      <c r="Z473" s="322">
        <v>38757</v>
      </c>
      <c r="AA473" s="323">
        <v>211</v>
      </c>
      <c r="AB473" s="323">
        <v>157.5</v>
      </c>
    </row>
    <row r="474" spans="1:28">
      <c r="A474" s="264">
        <v>38736</v>
      </c>
      <c r="B474" s="264">
        <v>38736</v>
      </c>
      <c r="C474" s="267">
        <v>189</v>
      </c>
      <c r="D474" s="267">
        <v>145</v>
      </c>
      <c r="E474" s="392">
        <v>159</v>
      </c>
      <c r="F474" s="1"/>
      <c r="Z474" s="322">
        <v>38764</v>
      </c>
      <c r="AA474" s="323">
        <v>207.5</v>
      </c>
      <c r="AB474" s="323">
        <v>158.5</v>
      </c>
    </row>
    <row r="475" spans="1:28">
      <c r="A475" s="264">
        <v>38743</v>
      </c>
      <c r="B475" s="264">
        <v>38743</v>
      </c>
      <c r="C475" s="267">
        <v>196.5</v>
      </c>
      <c r="D475" s="267">
        <v>146</v>
      </c>
      <c r="E475" s="392">
        <v>159</v>
      </c>
      <c r="F475" s="1"/>
      <c r="Z475" s="322">
        <v>38771</v>
      </c>
      <c r="AA475" s="323">
        <v>215</v>
      </c>
      <c r="AB475" s="323">
        <v>158.5</v>
      </c>
    </row>
    <row r="476" spans="1:28">
      <c r="A476" s="264">
        <v>38750</v>
      </c>
      <c r="B476" s="264">
        <v>38750</v>
      </c>
      <c r="C476" s="267">
        <v>205</v>
      </c>
      <c r="D476" s="267">
        <v>145</v>
      </c>
      <c r="E476" s="392">
        <v>153.5</v>
      </c>
      <c r="F476" s="1"/>
      <c r="Z476" s="322">
        <v>38778</v>
      </c>
      <c r="AA476" s="323">
        <v>227.5</v>
      </c>
      <c r="AB476" s="323">
        <v>166.5</v>
      </c>
    </row>
    <row r="477" spans="1:28">
      <c r="A477" s="264">
        <v>38757</v>
      </c>
      <c r="B477" s="264">
        <v>38757</v>
      </c>
      <c r="C477" s="267">
        <v>211</v>
      </c>
      <c r="D477" s="267">
        <v>155.5</v>
      </c>
      <c r="E477" s="392">
        <v>153.5</v>
      </c>
      <c r="F477" s="1"/>
      <c r="Z477" s="322">
        <v>38785</v>
      </c>
      <c r="AA477" s="323">
        <v>232.5</v>
      </c>
      <c r="AB477" s="323">
        <v>168.5</v>
      </c>
    </row>
    <row r="478" spans="1:28">
      <c r="A478" s="264">
        <v>38764</v>
      </c>
      <c r="B478" s="264">
        <v>38764</v>
      </c>
      <c r="C478" s="267">
        <v>207.5</v>
      </c>
      <c r="D478" s="267">
        <v>157.5</v>
      </c>
      <c r="E478" s="392">
        <v>153.5</v>
      </c>
      <c r="F478" s="1"/>
      <c r="Z478" s="322">
        <v>38792</v>
      </c>
      <c r="AA478" s="323">
        <v>245</v>
      </c>
      <c r="AB478" s="323">
        <v>155</v>
      </c>
    </row>
    <row r="479" spans="1:28">
      <c r="A479" s="264">
        <v>38771</v>
      </c>
      <c r="B479" s="264">
        <v>38771</v>
      </c>
      <c r="C479" s="267">
        <v>215</v>
      </c>
      <c r="D479" s="267">
        <v>158.5</v>
      </c>
      <c r="E479" s="392">
        <v>153.5</v>
      </c>
      <c r="F479" s="1"/>
      <c r="Z479" s="322">
        <v>38799</v>
      </c>
      <c r="AA479" s="323">
        <v>245</v>
      </c>
      <c r="AB479" s="323">
        <v>142.5</v>
      </c>
    </row>
    <row r="480" spans="1:28">
      <c r="A480" s="264">
        <v>38778</v>
      </c>
      <c r="B480" s="264">
        <v>38778</v>
      </c>
      <c r="C480" s="267">
        <v>227.5</v>
      </c>
      <c r="D480" s="267">
        <v>158.5</v>
      </c>
      <c r="E480" s="392">
        <v>151</v>
      </c>
      <c r="F480" s="1"/>
      <c r="Z480" s="322">
        <v>38806</v>
      </c>
      <c r="AA480" s="323">
        <v>240</v>
      </c>
      <c r="AB480" s="323">
        <v>137.5</v>
      </c>
    </row>
    <row r="481" spans="1:28">
      <c r="A481" s="264">
        <v>38785</v>
      </c>
      <c r="B481" s="264">
        <v>38785</v>
      </c>
      <c r="C481" s="267">
        <v>232.5</v>
      </c>
      <c r="D481" s="267">
        <v>166.5</v>
      </c>
      <c r="E481" s="392">
        <v>151</v>
      </c>
      <c r="F481" s="1"/>
      <c r="Z481" s="322">
        <v>38813</v>
      </c>
      <c r="AA481" s="323">
        <v>245</v>
      </c>
      <c r="AB481" s="323">
        <v>135</v>
      </c>
    </row>
    <row r="482" spans="1:28">
      <c r="A482" s="264">
        <v>38792</v>
      </c>
      <c r="B482" s="264">
        <v>38792</v>
      </c>
      <c r="C482" s="267">
        <v>245</v>
      </c>
      <c r="D482" s="267">
        <v>168.5</v>
      </c>
      <c r="E482" s="392">
        <v>151</v>
      </c>
      <c r="F482" s="1"/>
      <c r="Z482" s="322">
        <v>38820</v>
      </c>
      <c r="AA482" s="323">
        <v>240</v>
      </c>
      <c r="AB482" s="323">
        <v>136.5</v>
      </c>
    </row>
    <row r="483" spans="1:28">
      <c r="A483" s="264">
        <v>38799</v>
      </c>
      <c r="B483" s="264">
        <v>38799</v>
      </c>
      <c r="C483" s="267">
        <v>245</v>
      </c>
      <c r="D483" s="267">
        <v>155</v>
      </c>
      <c r="E483" s="392">
        <v>151</v>
      </c>
      <c r="F483" s="1"/>
      <c r="Z483" s="322">
        <v>38827</v>
      </c>
      <c r="AA483" s="323">
        <v>240</v>
      </c>
      <c r="AB483" s="323">
        <v>137.5</v>
      </c>
    </row>
    <row r="484" spans="1:28">
      <c r="A484" s="264">
        <v>38806</v>
      </c>
      <c r="B484" s="264">
        <v>38806</v>
      </c>
      <c r="C484" s="267">
        <v>240</v>
      </c>
      <c r="D484" s="267">
        <v>142.5</v>
      </c>
      <c r="E484" s="392">
        <v>151</v>
      </c>
      <c r="F484" s="1"/>
      <c r="Z484" s="322">
        <v>38834</v>
      </c>
      <c r="AA484" s="323">
        <v>239.5</v>
      </c>
      <c r="AB484" s="323">
        <v>138.5</v>
      </c>
    </row>
    <row r="485" spans="1:28">
      <c r="A485" s="264">
        <v>38813</v>
      </c>
      <c r="B485" s="264">
        <v>38813</v>
      </c>
      <c r="C485" s="267">
        <v>245</v>
      </c>
      <c r="D485" s="267">
        <v>137.5</v>
      </c>
      <c r="E485" s="392">
        <v>151</v>
      </c>
      <c r="F485" s="1"/>
      <c r="Z485" s="322">
        <v>38841</v>
      </c>
      <c r="AA485" s="323">
        <v>235</v>
      </c>
      <c r="AB485" s="323">
        <v>135.5</v>
      </c>
    </row>
    <row r="486" spans="1:28">
      <c r="A486" s="264">
        <v>38820</v>
      </c>
      <c r="B486" s="264">
        <v>38820</v>
      </c>
      <c r="C486" s="267">
        <v>240</v>
      </c>
      <c r="D486" s="267">
        <v>135</v>
      </c>
      <c r="E486" s="392">
        <v>149</v>
      </c>
      <c r="F486" s="1"/>
      <c r="Z486" s="322">
        <v>38848</v>
      </c>
      <c r="AA486" s="323">
        <v>230</v>
      </c>
      <c r="AB486" s="323">
        <v>128.5</v>
      </c>
    </row>
    <row r="487" spans="1:28">
      <c r="A487" s="264">
        <v>38827</v>
      </c>
      <c r="B487" s="264">
        <v>38827</v>
      </c>
      <c r="C487" s="267">
        <v>240</v>
      </c>
      <c r="D487" s="267">
        <v>136.5</v>
      </c>
      <c r="E487" s="392">
        <v>149</v>
      </c>
      <c r="F487" s="1"/>
      <c r="Z487" s="322">
        <v>38855</v>
      </c>
      <c r="AA487" s="323">
        <v>222.5</v>
      </c>
      <c r="AB487" s="323">
        <v>122.5</v>
      </c>
    </row>
    <row r="488" spans="1:28">
      <c r="A488" s="264">
        <v>38834</v>
      </c>
      <c r="B488" s="264">
        <v>38834</v>
      </c>
      <c r="C488" s="267">
        <v>239.5</v>
      </c>
      <c r="D488" s="267">
        <v>137.5</v>
      </c>
      <c r="E488" s="392">
        <v>149</v>
      </c>
      <c r="F488" s="1"/>
      <c r="Z488" s="322">
        <v>38862</v>
      </c>
      <c r="AA488" s="323">
        <v>212</v>
      </c>
      <c r="AB488" s="323">
        <v>122</v>
      </c>
    </row>
    <row r="489" spans="1:28">
      <c r="A489" s="264">
        <v>38841</v>
      </c>
      <c r="B489" s="264">
        <v>38841</v>
      </c>
      <c r="C489" s="267">
        <v>235</v>
      </c>
      <c r="D489" s="267">
        <v>138.5</v>
      </c>
      <c r="E489" s="392">
        <v>149</v>
      </c>
      <c r="F489" s="1"/>
      <c r="Z489" s="322">
        <v>38869</v>
      </c>
      <c r="AA489" s="323">
        <v>212</v>
      </c>
      <c r="AB489" s="323">
        <v>121</v>
      </c>
    </row>
    <row r="490" spans="1:28">
      <c r="A490" s="264">
        <v>38848</v>
      </c>
      <c r="B490" s="264">
        <v>38848</v>
      </c>
      <c r="C490" s="267">
        <v>230</v>
      </c>
      <c r="D490" s="267">
        <v>135.5</v>
      </c>
      <c r="E490" s="392">
        <v>149</v>
      </c>
      <c r="F490" s="1"/>
      <c r="Z490" s="322">
        <v>38883</v>
      </c>
      <c r="AA490" s="323">
        <v>197.5</v>
      </c>
      <c r="AB490" s="323">
        <v>121</v>
      </c>
    </row>
    <row r="491" spans="1:28">
      <c r="A491" s="264">
        <v>38855</v>
      </c>
      <c r="B491" s="264">
        <v>38855</v>
      </c>
      <c r="C491" s="267">
        <v>222.5</v>
      </c>
      <c r="D491" s="267">
        <v>128.5</v>
      </c>
      <c r="E491" s="392">
        <v>146.5</v>
      </c>
      <c r="F491" s="1"/>
      <c r="Z491" s="322">
        <v>38890</v>
      </c>
      <c r="AA491" s="323">
        <v>198</v>
      </c>
      <c r="AB491" s="323">
        <v>125</v>
      </c>
    </row>
    <row r="492" spans="1:28">
      <c r="A492" s="264">
        <v>38862</v>
      </c>
      <c r="B492" s="264">
        <v>38862</v>
      </c>
      <c r="C492" s="267">
        <v>212</v>
      </c>
      <c r="D492" s="267">
        <v>122.5</v>
      </c>
      <c r="E492" s="392">
        <v>146.5</v>
      </c>
      <c r="F492" s="1"/>
      <c r="Z492" s="322">
        <v>38897</v>
      </c>
      <c r="AA492" s="323">
        <v>201</v>
      </c>
      <c r="AB492" s="323">
        <v>127</v>
      </c>
    </row>
    <row r="493" spans="1:28">
      <c r="A493" s="264">
        <v>38869</v>
      </c>
      <c r="B493" s="264">
        <v>38869</v>
      </c>
      <c r="C493" s="267">
        <v>212</v>
      </c>
      <c r="D493" s="267">
        <v>122</v>
      </c>
      <c r="E493" s="392">
        <v>137.5</v>
      </c>
      <c r="F493" s="1"/>
      <c r="Z493" s="322">
        <v>38904</v>
      </c>
      <c r="AA493" s="323">
        <v>201</v>
      </c>
      <c r="AB493" s="323">
        <v>134</v>
      </c>
    </row>
    <row r="494" spans="1:28">
      <c r="A494" s="264">
        <v>38883</v>
      </c>
      <c r="B494" s="264">
        <v>38883</v>
      </c>
      <c r="C494" s="267">
        <v>197.5</v>
      </c>
      <c r="D494" s="267">
        <v>121</v>
      </c>
      <c r="E494" s="392">
        <v>136.5</v>
      </c>
      <c r="F494" s="1"/>
      <c r="Z494" s="322">
        <v>38911</v>
      </c>
      <c r="AA494" s="323">
        <v>200</v>
      </c>
      <c r="AB494" s="323">
        <v>142</v>
      </c>
    </row>
    <row r="495" spans="1:28">
      <c r="A495" s="264">
        <v>38890</v>
      </c>
      <c r="B495" s="264">
        <v>38890</v>
      </c>
      <c r="C495" s="267">
        <v>198</v>
      </c>
      <c r="D495" s="267">
        <v>121</v>
      </c>
      <c r="E495" s="392">
        <v>132.5</v>
      </c>
      <c r="F495" s="1"/>
      <c r="Z495" s="322">
        <v>38918</v>
      </c>
      <c r="AA495" s="323">
        <v>200</v>
      </c>
      <c r="AB495" s="323">
        <v>141</v>
      </c>
    </row>
    <row r="496" spans="1:28">
      <c r="A496" s="264">
        <v>38897</v>
      </c>
      <c r="B496" s="264">
        <v>38897</v>
      </c>
      <c r="C496" s="267">
        <v>201</v>
      </c>
      <c r="D496" s="267">
        <v>125</v>
      </c>
      <c r="E496" s="392">
        <v>130</v>
      </c>
      <c r="Z496" s="322">
        <v>38925</v>
      </c>
      <c r="AA496" s="323">
        <v>195</v>
      </c>
      <c r="AB496" s="323">
        <v>142</v>
      </c>
    </row>
    <row r="497" spans="1:28">
      <c r="A497" s="264">
        <v>38904</v>
      </c>
      <c r="B497" s="264">
        <v>38904</v>
      </c>
      <c r="C497" s="267">
        <v>201</v>
      </c>
      <c r="D497" s="267">
        <v>127</v>
      </c>
      <c r="E497" s="392">
        <v>130</v>
      </c>
      <c r="Z497" s="322">
        <v>38932</v>
      </c>
      <c r="AA497" s="323">
        <v>205</v>
      </c>
      <c r="AB497" s="323">
        <v>142</v>
      </c>
    </row>
    <row r="498" spans="1:28">
      <c r="A498" s="264">
        <v>38911</v>
      </c>
      <c r="B498" s="264">
        <v>38911</v>
      </c>
      <c r="C498" s="267">
        <v>200</v>
      </c>
      <c r="D498" s="267">
        <v>134</v>
      </c>
      <c r="E498" s="392">
        <v>130</v>
      </c>
      <c r="Z498" s="322">
        <v>38939</v>
      </c>
      <c r="AA498" s="323">
        <v>208</v>
      </c>
      <c r="AB498" s="323">
        <v>145.5</v>
      </c>
    </row>
    <row r="499" spans="1:28">
      <c r="A499" s="264">
        <v>38918</v>
      </c>
      <c r="B499" s="264">
        <v>38918</v>
      </c>
      <c r="C499" s="267">
        <v>200</v>
      </c>
      <c r="D499" s="267">
        <v>142</v>
      </c>
      <c r="E499" s="392">
        <v>137.5</v>
      </c>
      <c r="Z499" s="322">
        <v>38946</v>
      </c>
      <c r="AA499" s="323">
        <v>211.5</v>
      </c>
      <c r="AB499" s="323">
        <v>148.5</v>
      </c>
    </row>
    <row r="500" spans="1:28">
      <c r="A500" s="264">
        <v>38925</v>
      </c>
      <c r="B500" s="264">
        <v>38925</v>
      </c>
      <c r="C500" s="267">
        <v>195</v>
      </c>
      <c r="D500" s="267">
        <v>141</v>
      </c>
      <c r="E500" s="392">
        <v>137.5</v>
      </c>
      <c r="Z500" s="322">
        <v>38953</v>
      </c>
      <c r="AA500" s="323">
        <v>214</v>
      </c>
      <c r="AB500" s="323">
        <v>148.5</v>
      </c>
    </row>
    <row r="501" spans="1:28">
      <c r="A501" s="264">
        <v>38932</v>
      </c>
      <c r="B501" s="264">
        <v>38932</v>
      </c>
      <c r="C501" s="267">
        <v>205</v>
      </c>
      <c r="D501" s="267">
        <v>142</v>
      </c>
      <c r="E501" s="392">
        <v>142.5</v>
      </c>
      <c r="Z501" s="322">
        <v>38960</v>
      </c>
      <c r="AA501" s="323">
        <v>211.5</v>
      </c>
      <c r="AB501" s="323">
        <v>147</v>
      </c>
    </row>
    <row r="502" spans="1:28">
      <c r="A502" s="264">
        <v>38939</v>
      </c>
      <c r="B502" s="264">
        <v>38939</v>
      </c>
      <c r="C502" s="267">
        <v>208</v>
      </c>
      <c r="D502" s="267">
        <v>142</v>
      </c>
      <c r="E502" s="392">
        <v>142.5</v>
      </c>
      <c r="Z502" s="322">
        <v>38967</v>
      </c>
      <c r="AA502" s="323">
        <v>207.5</v>
      </c>
      <c r="AB502" s="323">
        <v>144</v>
      </c>
    </row>
    <row r="503" spans="1:28">
      <c r="A503" s="264">
        <v>38946</v>
      </c>
      <c r="B503" s="264">
        <v>38946</v>
      </c>
      <c r="C503" s="267">
        <v>211.5</v>
      </c>
      <c r="D503" s="267">
        <v>145.5</v>
      </c>
      <c r="E503" s="392">
        <v>142.5</v>
      </c>
      <c r="Z503" s="322">
        <v>38974</v>
      </c>
      <c r="AA503" s="323">
        <v>205</v>
      </c>
      <c r="AB503" s="323">
        <v>142.5</v>
      </c>
    </row>
    <row r="504" spans="1:28">
      <c r="A504" s="264">
        <v>38953</v>
      </c>
      <c r="B504" s="264">
        <v>38953</v>
      </c>
      <c r="C504" s="267">
        <v>214</v>
      </c>
      <c r="D504" s="267">
        <v>148.5</v>
      </c>
      <c r="E504" s="392">
        <v>146.5</v>
      </c>
      <c r="Z504" s="322">
        <v>38981</v>
      </c>
      <c r="AA504" s="323">
        <v>208.5</v>
      </c>
      <c r="AB504" s="323">
        <v>141.5</v>
      </c>
    </row>
    <row r="505" spans="1:28">
      <c r="A505" s="264">
        <v>38960</v>
      </c>
      <c r="B505" s="264">
        <v>38960</v>
      </c>
      <c r="C505" s="267">
        <v>211.5</v>
      </c>
      <c r="D505" s="267">
        <v>148.5</v>
      </c>
      <c r="E505" s="392">
        <v>149</v>
      </c>
      <c r="Z505" s="322">
        <v>38988</v>
      </c>
      <c r="AA505" s="323">
        <v>204</v>
      </c>
      <c r="AB505" s="323">
        <v>142.5</v>
      </c>
    </row>
    <row r="506" spans="1:28">
      <c r="A506" s="264">
        <v>38967</v>
      </c>
      <c r="B506" s="264">
        <v>38967</v>
      </c>
      <c r="C506" s="267">
        <v>207.5</v>
      </c>
      <c r="D506" s="267">
        <v>147</v>
      </c>
      <c r="E506" s="392">
        <v>149</v>
      </c>
      <c r="Z506" s="322">
        <v>38995</v>
      </c>
      <c r="AA506" s="323">
        <v>196</v>
      </c>
      <c r="AB506" s="323">
        <v>142.5</v>
      </c>
    </row>
    <row r="507" spans="1:28">
      <c r="A507" s="264">
        <v>38974</v>
      </c>
      <c r="B507" s="264">
        <v>38974</v>
      </c>
      <c r="C507" s="267">
        <v>205</v>
      </c>
      <c r="D507" s="267">
        <v>144</v>
      </c>
      <c r="E507" s="392">
        <v>149</v>
      </c>
      <c r="Z507" s="322">
        <v>39002</v>
      </c>
      <c r="AA507" s="323">
        <v>202.5</v>
      </c>
      <c r="AB507" s="323">
        <v>148</v>
      </c>
    </row>
    <row r="508" spans="1:28">
      <c r="A508" s="264">
        <v>38981</v>
      </c>
      <c r="B508" s="264">
        <v>38981</v>
      </c>
      <c r="C508" s="267">
        <v>208.5</v>
      </c>
      <c r="D508" s="267">
        <v>142.5</v>
      </c>
      <c r="E508" s="392">
        <v>149</v>
      </c>
      <c r="Z508" s="322">
        <v>39009</v>
      </c>
      <c r="AA508" s="323">
        <v>206</v>
      </c>
      <c r="AB508" s="323">
        <v>151</v>
      </c>
    </row>
    <row r="509" spans="1:28">
      <c r="A509" s="264">
        <v>38988</v>
      </c>
      <c r="B509" s="264">
        <v>38988</v>
      </c>
      <c r="C509" s="267">
        <v>204</v>
      </c>
      <c r="D509" s="267">
        <v>141.5</v>
      </c>
      <c r="E509" s="392">
        <v>149</v>
      </c>
      <c r="Z509" s="322">
        <v>39016</v>
      </c>
      <c r="AA509" s="323">
        <v>207</v>
      </c>
      <c r="AB509" s="323">
        <v>148.5</v>
      </c>
    </row>
    <row r="510" spans="1:28">
      <c r="A510" s="264">
        <v>38995</v>
      </c>
      <c r="B510" s="264">
        <v>38995</v>
      </c>
      <c r="C510" s="267">
        <v>196</v>
      </c>
      <c r="D510" s="267">
        <v>142.5</v>
      </c>
      <c r="E510" s="392">
        <v>149</v>
      </c>
      <c r="Z510" s="322">
        <v>39023</v>
      </c>
      <c r="AA510" s="323">
        <v>209</v>
      </c>
      <c r="AB510" s="323">
        <v>154</v>
      </c>
    </row>
    <row r="511" spans="1:28">
      <c r="A511" s="264">
        <v>39002</v>
      </c>
      <c r="B511" s="264">
        <v>39002</v>
      </c>
      <c r="C511" s="267">
        <v>202.5</v>
      </c>
      <c r="D511" s="267">
        <v>142.5</v>
      </c>
      <c r="E511" s="392">
        <v>125</v>
      </c>
      <c r="Z511" s="322">
        <v>39030</v>
      </c>
      <c r="AA511" s="323">
        <v>217.5</v>
      </c>
      <c r="AB511" s="323">
        <v>157.5</v>
      </c>
    </row>
    <row r="512" spans="1:28">
      <c r="A512" s="264">
        <v>39009</v>
      </c>
      <c r="B512" s="264">
        <v>39009</v>
      </c>
      <c r="C512" s="267">
        <v>206</v>
      </c>
      <c r="D512" s="267">
        <v>148</v>
      </c>
      <c r="E512" s="392">
        <v>127.5</v>
      </c>
      <c r="Z512" s="322">
        <v>39037</v>
      </c>
      <c r="AA512" s="323">
        <v>227.5</v>
      </c>
      <c r="AB512" s="323">
        <v>163.5</v>
      </c>
    </row>
    <row r="513" spans="1:28">
      <c r="A513" s="264">
        <v>39016</v>
      </c>
      <c r="B513" s="264">
        <v>39016</v>
      </c>
      <c r="C513" s="267">
        <v>207</v>
      </c>
      <c r="D513" s="267">
        <v>151</v>
      </c>
      <c r="E513" s="392">
        <v>127.5</v>
      </c>
      <c r="Z513" s="322">
        <v>39044</v>
      </c>
      <c r="AA513" s="323">
        <v>240</v>
      </c>
      <c r="AB513" s="323">
        <v>164</v>
      </c>
    </row>
    <row r="514" spans="1:28">
      <c r="A514" s="264">
        <v>39023</v>
      </c>
      <c r="B514" s="264">
        <v>39023</v>
      </c>
      <c r="C514" s="267">
        <v>209</v>
      </c>
      <c r="D514" s="267">
        <v>148.5</v>
      </c>
      <c r="E514" s="392">
        <v>135</v>
      </c>
      <c r="Z514" s="322">
        <v>39051</v>
      </c>
      <c r="AA514" s="323">
        <v>245</v>
      </c>
      <c r="AB514" s="323">
        <v>165</v>
      </c>
    </row>
    <row r="515" spans="1:28">
      <c r="A515" s="264">
        <v>39030</v>
      </c>
      <c r="B515" s="264">
        <v>39030</v>
      </c>
      <c r="C515" s="267">
        <v>217.5</v>
      </c>
      <c r="D515" s="267">
        <v>154</v>
      </c>
      <c r="E515" s="392">
        <v>132.5</v>
      </c>
      <c r="Z515" s="322">
        <v>39058</v>
      </c>
      <c r="AA515" s="323">
        <v>247.5</v>
      </c>
      <c r="AB515" s="323">
        <v>163.5</v>
      </c>
    </row>
    <row r="516" spans="1:28">
      <c r="A516" s="264">
        <v>39037</v>
      </c>
      <c r="B516" s="264">
        <v>39037</v>
      </c>
      <c r="C516" s="267">
        <v>227.5</v>
      </c>
      <c r="D516" s="267">
        <v>157.5</v>
      </c>
      <c r="E516" s="392">
        <v>132.5</v>
      </c>
      <c r="Z516" s="322">
        <v>39065</v>
      </c>
      <c r="AA516" s="323">
        <v>246</v>
      </c>
      <c r="AB516" s="323">
        <v>171.5</v>
      </c>
    </row>
    <row r="517" spans="1:28">
      <c r="A517" s="264">
        <v>39044</v>
      </c>
      <c r="B517" s="264">
        <v>39044</v>
      </c>
      <c r="C517" s="267">
        <v>240</v>
      </c>
      <c r="D517" s="267">
        <v>163.5</v>
      </c>
      <c r="E517" s="392">
        <v>137.5</v>
      </c>
      <c r="Z517" s="322">
        <v>39072</v>
      </c>
      <c r="AA517" s="323">
        <v>250</v>
      </c>
      <c r="AB517" s="323">
        <v>170.5</v>
      </c>
    </row>
    <row r="518" spans="1:28">
      <c r="A518" s="264">
        <v>39051</v>
      </c>
      <c r="B518" s="264">
        <v>39051</v>
      </c>
      <c r="C518" s="267">
        <v>245</v>
      </c>
      <c r="D518" s="267">
        <v>164</v>
      </c>
      <c r="E518" s="392">
        <v>152.5</v>
      </c>
      <c r="Z518" s="322">
        <v>39086</v>
      </c>
      <c r="AA518" s="323">
        <v>250.5</v>
      </c>
      <c r="AB518" s="323">
        <v>169</v>
      </c>
    </row>
    <row r="519" spans="1:28">
      <c r="A519" s="264">
        <v>39058</v>
      </c>
      <c r="B519" s="264">
        <v>39058</v>
      </c>
      <c r="C519" s="267">
        <v>247.5</v>
      </c>
      <c r="D519" s="267">
        <v>165</v>
      </c>
      <c r="E519" s="392">
        <v>152.5</v>
      </c>
      <c r="Z519" s="322">
        <v>39093</v>
      </c>
      <c r="AA519" s="323">
        <v>252</v>
      </c>
      <c r="AB519" s="323">
        <v>171</v>
      </c>
    </row>
    <row r="520" spans="1:28">
      <c r="A520" s="264">
        <v>39065</v>
      </c>
      <c r="B520" s="264">
        <v>39065</v>
      </c>
      <c r="C520" s="267">
        <v>246</v>
      </c>
      <c r="D520" s="267">
        <v>163.5</v>
      </c>
      <c r="E520" s="392">
        <v>152.5</v>
      </c>
      <c r="Z520" s="322">
        <v>39100</v>
      </c>
      <c r="AA520" s="323">
        <v>266</v>
      </c>
      <c r="AB520" s="323">
        <v>176</v>
      </c>
    </row>
    <row r="521" spans="1:28">
      <c r="A521" s="264">
        <v>39072</v>
      </c>
      <c r="B521" s="264">
        <v>39072</v>
      </c>
      <c r="C521" s="267">
        <v>250</v>
      </c>
      <c r="D521" s="267">
        <v>171.5</v>
      </c>
      <c r="E521" s="392">
        <v>152.5</v>
      </c>
      <c r="Z521" s="322">
        <v>39107</v>
      </c>
      <c r="AA521" s="323">
        <v>272</v>
      </c>
      <c r="AB521" s="323">
        <v>177.5</v>
      </c>
    </row>
    <row r="522" spans="1:28">
      <c r="A522" s="264">
        <v>39086</v>
      </c>
      <c r="B522" s="264">
        <v>39086</v>
      </c>
      <c r="C522" s="267">
        <v>250.5</v>
      </c>
      <c r="D522" s="267">
        <v>170.5</v>
      </c>
      <c r="E522" s="392">
        <v>173</v>
      </c>
      <c r="Z522" s="322">
        <v>39114</v>
      </c>
      <c r="AA522" s="323">
        <v>275</v>
      </c>
      <c r="AB522" s="323">
        <v>179.5</v>
      </c>
    </row>
    <row r="523" spans="1:28">
      <c r="A523" s="264">
        <v>39093</v>
      </c>
      <c r="B523" s="264">
        <v>39093</v>
      </c>
      <c r="C523" s="267">
        <v>252</v>
      </c>
      <c r="D523" s="267">
        <v>169</v>
      </c>
      <c r="E523" s="392">
        <v>173</v>
      </c>
      <c r="Z523" s="322">
        <v>39121</v>
      </c>
      <c r="AA523" s="323">
        <v>281.5</v>
      </c>
      <c r="AB523" s="323">
        <v>185</v>
      </c>
    </row>
    <row r="524" spans="1:28">
      <c r="A524" s="264">
        <v>39100</v>
      </c>
      <c r="B524" s="264">
        <v>39100</v>
      </c>
      <c r="C524" s="267">
        <v>266</v>
      </c>
      <c r="D524" s="267">
        <v>171</v>
      </c>
      <c r="E524" s="392">
        <v>173</v>
      </c>
      <c r="Z524" s="322">
        <v>39128</v>
      </c>
      <c r="AA524" s="323">
        <v>292.5</v>
      </c>
      <c r="AB524" s="323">
        <v>191</v>
      </c>
    </row>
    <row r="525" spans="1:28">
      <c r="A525" s="264">
        <v>39107</v>
      </c>
      <c r="B525" s="264">
        <v>39107</v>
      </c>
      <c r="C525" s="267">
        <v>272</v>
      </c>
      <c r="D525" s="267">
        <v>176</v>
      </c>
      <c r="E525" s="392">
        <v>177.5</v>
      </c>
      <c r="Z525" s="322">
        <v>39135</v>
      </c>
      <c r="AA525" s="323">
        <v>301</v>
      </c>
      <c r="AB525" s="323">
        <v>195</v>
      </c>
    </row>
    <row r="526" spans="1:28">
      <c r="A526" s="264">
        <v>39114</v>
      </c>
      <c r="B526" s="264">
        <v>39114</v>
      </c>
      <c r="C526" s="267">
        <v>275</v>
      </c>
      <c r="D526" s="267">
        <v>177.5</v>
      </c>
      <c r="E526" s="392">
        <v>175</v>
      </c>
      <c r="Z526" s="322">
        <v>39142</v>
      </c>
      <c r="AA526" s="323">
        <v>307</v>
      </c>
      <c r="AB526" s="323">
        <v>210</v>
      </c>
    </row>
    <row r="527" spans="1:28">
      <c r="A527" s="264">
        <v>39121</v>
      </c>
      <c r="B527" s="264">
        <v>39121</v>
      </c>
      <c r="C527" s="267">
        <v>281.5</v>
      </c>
      <c r="D527" s="267">
        <v>179.5</v>
      </c>
      <c r="E527" s="392">
        <v>175</v>
      </c>
      <c r="Z527" s="322">
        <v>39149</v>
      </c>
      <c r="AA527" s="323">
        <v>310</v>
      </c>
      <c r="AB527" s="323">
        <v>210</v>
      </c>
    </row>
    <row r="528" spans="1:28">
      <c r="A528" s="264">
        <v>39128</v>
      </c>
      <c r="B528" s="264">
        <v>39128</v>
      </c>
      <c r="C528" s="267">
        <v>292.5</v>
      </c>
      <c r="D528" s="267">
        <v>185</v>
      </c>
      <c r="E528" s="392">
        <v>187.5</v>
      </c>
      <c r="Z528" s="322">
        <v>39156</v>
      </c>
      <c r="AA528" s="323">
        <v>311.5</v>
      </c>
      <c r="AB528" s="323">
        <v>208.5</v>
      </c>
    </row>
    <row r="529" spans="1:28">
      <c r="A529" s="264">
        <v>39135</v>
      </c>
      <c r="B529" s="264">
        <v>39135</v>
      </c>
      <c r="C529" s="267">
        <v>301</v>
      </c>
      <c r="D529" s="267">
        <v>191</v>
      </c>
      <c r="E529" s="392">
        <v>201</v>
      </c>
      <c r="Z529" s="322">
        <v>39163</v>
      </c>
      <c r="AA529" s="323">
        <v>307.5</v>
      </c>
      <c r="AB529" s="323">
        <v>210</v>
      </c>
    </row>
    <row r="530" spans="1:28">
      <c r="A530" s="264">
        <v>39142</v>
      </c>
      <c r="B530" s="264">
        <v>39142</v>
      </c>
      <c r="C530" s="267">
        <v>307</v>
      </c>
      <c r="D530" s="267">
        <v>195</v>
      </c>
      <c r="E530" s="392">
        <v>201</v>
      </c>
      <c r="Z530" s="322">
        <v>39170</v>
      </c>
      <c r="AA530" s="323">
        <v>297.5</v>
      </c>
      <c r="AB530" s="323">
        <v>205</v>
      </c>
    </row>
    <row r="531" spans="1:28">
      <c r="A531" s="264">
        <v>39149</v>
      </c>
      <c r="B531" s="264">
        <v>39149</v>
      </c>
      <c r="C531" s="267">
        <v>310</v>
      </c>
      <c r="D531" s="267">
        <v>210</v>
      </c>
      <c r="E531" s="392">
        <v>201</v>
      </c>
      <c r="Z531" s="322">
        <v>39177</v>
      </c>
      <c r="AA531" s="323">
        <v>292.5</v>
      </c>
      <c r="AB531" s="323">
        <v>197.5</v>
      </c>
    </row>
    <row r="532" spans="1:28">
      <c r="A532" s="264">
        <v>39156</v>
      </c>
      <c r="B532" s="264">
        <v>39156</v>
      </c>
      <c r="C532" s="267">
        <v>311.5</v>
      </c>
      <c r="D532" s="267">
        <v>210</v>
      </c>
      <c r="E532" s="392">
        <v>201</v>
      </c>
      <c r="Z532" s="322">
        <v>39184</v>
      </c>
      <c r="AA532" s="323">
        <v>280</v>
      </c>
      <c r="AB532" s="323">
        <v>185</v>
      </c>
    </row>
    <row r="533" spans="1:28">
      <c r="A533" s="264">
        <v>39163</v>
      </c>
      <c r="B533" s="264">
        <v>39163</v>
      </c>
      <c r="C533" s="267">
        <v>307.5</v>
      </c>
      <c r="D533" s="267">
        <v>208.5</v>
      </c>
      <c r="E533" s="392">
        <v>201</v>
      </c>
      <c r="Z533" s="322">
        <v>39191</v>
      </c>
      <c r="AA533" s="323">
        <v>280.5</v>
      </c>
      <c r="AB533" s="323">
        <v>177.5</v>
      </c>
    </row>
    <row r="534" spans="1:28">
      <c r="A534" s="264">
        <v>39170</v>
      </c>
      <c r="B534" s="264">
        <v>39170</v>
      </c>
      <c r="C534" s="267">
        <v>297.5</v>
      </c>
      <c r="D534" s="267">
        <v>210</v>
      </c>
      <c r="E534" s="392">
        <v>217.5</v>
      </c>
      <c r="Z534" s="322">
        <v>39198</v>
      </c>
      <c r="AA534" s="323">
        <v>286</v>
      </c>
      <c r="AB534" s="323">
        <v>172.5</v>
      </c>
    </row>
    <row r="535" spans="1:28">
      <c r="A535" s="264">
        <v>39177</v>
      </c>
      <c r="B535" s="264">
        <v>39177</v>
      </c>
      <c r="C535" s="267">
        <v>292.5</v>
      </c>
      <c r="D535" s="267">
        <v>205</v>
      </c>
      <c r="E535" s="392">
        <v>217.5</v>
      </c>
      <c r="Z535" s="322">
        <v>39205</v>
      </c>
      <c r="AA535" s="323">
        <v>296</v>
      </c>
      <c r="AB535" s="323">
        <v>167.5</v>
      </c>
    </row>
    <row r="536" spans="1:28">
      <c r="A536" s="264">
        <v>39184</v>
      </c>
      <c r="B536" s="264">
        <v>39184</v>
      </c>
      <c r="C536" s="267">
        <v>280</v>
      </c>
      <c r="D536" s="267">
        <v>197.5</v>
      </c>
      <c r="E536" s="392">
        <v>217.5</v>
      </c>
      <c r="Z536" s="322">
        <v>39212</v>
      </c>
      <c r="AA536" s="323">
        <v>287.5</v>
      </c>
      <c r="AB536" s="323">
        <v>157.5</v>
      </c>
    </row>
    <row r="537" spans="1:28">
      <c r="A537" s="264">
        <v>39191</v>
      </c>
      <c r="B537" s="264">
        <v>39191</v>
      </c>
      <c r="C537" s="267">
        <v>280.5</v>
      </c>
      <c r="D537" s="267">
        <v>185</v>
      </c>
      <c r="E537" s="392">
        <v>212.5</v>
      </c>
      <c r="Z537" s="322">
        <v>39219</v>
      </c>
      <c r="AA537" s="323">
        <v>289</v>
      </c>
      <c r="AB537" s="323">
        <v>150</v>
      </c>
    </row>
    <row r="538" spans="1:28">
      <c r="A538" s="264">
        <v>39198</v>
      </c>
      <c r="B538" s="264">
        <v>39198</v>
      </c>
      <c r="C538" s="267">
        <v>286</v>
      </c>
      <c r="D538" s="267">
        <v>177.5</v>
      </c>
      <c r="E538" s="392">
        <v>212.5</v>
      </c>
      <c r="Z538" s="322">
        <v>39233</v>
      </c>
      <c r="AA538" s="323">
        <v>283.5</v>
      </c>
      <c r="AB538" s="323">
        <v>157</v>
      </c>
    </row>
    <row r="539" spans="1:28">
      <c r="A539" s="264">
        <v>39205</v>
      </c>
      <c r="B539" s="264">
        <v>39205</v>
      </c>
      <c r="C539" s="267">
        <v>296</v>
      </c>
      <c r="D539" s="267">
        <v>172.5</v>
      </c>
      <c r="E539" s="392">
        <v>212.5</v>
      </c>
      <c r="Z539" s="322">
        <v>39240</v>
      </c>
      <c r="AA539" s="323">
        <v>285</v>
      </c>
      <c r="AB539" s="323">
        <v>157.5</v>
      </c>
    </row>
    <row r="540" spans="1:28">
      <c r="A540" s="264">
        <v>39212</v>
      </c>
      <c r="B540" s="264">
        <v>39212</v>
      </c>
      <c r="C540" s="267">
        <v>287.5</v>
      </c>
      <c r="D540" s="267">
        <v>167.5</v>
      </c>
      <c r="E540" s="392">
        <v>206.5</v>
      </c>
      <c r="Z540" s="322">
        <v>39247</v>
      </c>
      <c r="AA540" s="323">
        <v>282.5</v>
      </c>
      <c r="AB540" s="323">
        <v>157.5</v>
      </c>
    </row>
    <row r="541" spans="1:28">
      <c r="A541" s="264">
        <v>39219</v>
      </c>
      <c r="B541" s="264">
        <v>39219</v>
      </c>
      <c r="C541" s="267">
        <v>289</v>
      </c>
      <c r="D541" s="267">
        <v>157.5</v>
      </c>
      <c r="E541" s="392">
        <v>206.5</v>
      </c>
      <c r="Z541" s="322">
        <v>39254</v>
      </c>
      <c r="AA541" s="323">
        <v>272.5</v>
      </c>
      <c r="AB541" s="323">
        <v>162.5</v>
      </c>
    </row>
    <row r="542" spans="1:28">
      <c r="A542" s="264">
        <v>39233</v>
      </c>
      <c r="B542" s="264">
        <v>39233</v>
      </c>
      <c r="C542" s="267">
        <v>283.5</v>
      </c>
      <c r="D542" s="267">
        <v>150</v>
      </c>
      <c r="E542" s="392">
        <v>200</v>
      </c>
      <c r="Z542" s="322">
        <v>39261</v>
      </c>
      <c r="AA542" s="323">
        <v>271.5</v>
      </c>
      <c r="AB542" s="323">
        <v>164</v>
      </c>
    </row>
    <row r="543" spans="1:28">
      <c r="A543" s="264">
        <v>39240</v>
      </c>
      <c r="B543" s="264">
        <v>39240</v>
      </c>
      <c r="C543" s="267">
        <v>285</v>
      </c>
      <c r="D543" s="267">
        <v>157</v>
      </c>
      <c r="E543" s="392">
        <v>187.5</v>
      </c>
      <c r="Z543" s="322">
        <v>39268</v>
      </c>
      <c r="AA543" s="323">
        <v>271.5</v>
      </c>
      <c r="AB543" s="323">
        <v>165</v>
      </c>
    </row>
    <row r="544" spans="1:28">
      <c r="A544" s="264">
        <v>39247</v>
      </c>
      <c r="B544" s="264">
        <v>39247</v>
      </c>
      <c r="C544" s="267">
        <v>282.5</v>
      </c>
      <c r="D544" s="267">
        <v>157.5</v>
      </c>
      <c r="E544" s="392">
        <v>186.5</v>
      </c>
      <c r="Z544" s="322">
        <v>39275</v>
      </c>
      <c r="AA544" s="323">
        <v>268</v>
      </c>
      <c r="AB544" s="323">
        <v>165</v>
      </c>
    </row>
    <row r="545" spans="1:28">
      <c r="A545" s="264">
        <v>39254</v>
      </c>
      <c r="B545" s="264">
        <v>39254</v>
      </c>
      <c r="C545" s="267">
        <v>272.5</v>
      </c>
      <c r="D545" s="267">
        <v>157.5</v>
      </c>
      <c r="E545" s="392">
        <v>186.5</v>
      </c>
      <c r="Z545" s="322">
        <v>39282</v>
      </c>
      <c r="AA545" s="323">
        <v>263</v>
      </c>
      <c r="AB545" s="323">
        <v>167.5</v>
      </c>
    </row>
    <row r="546" spans="1:28">
      <c r="A546" s="264">
        <v>39261</v>
      </c>
      <c r="B546" s="264">
        <v>39261</v>
      </c>
      <c r="C546" s="267">
        <v>271.5</v>
      </c>
      <c r="D546" s="267">
        <v>162.5</v>
      </c>
      <c r="E546" s="392">
        <v>196</v>
      </c>
      <c r="Z546" s="322">
        <v>39289</v>
      </c>
      <c r="AA546" s="323">
        <v>257</v>
      </c>
      <c r="AB546" s="323">
        <v>177.5</v>
      </c>
    </row>
    <row r="547" spans="1:28">
      <c r="A547" s="264">
        <v>39268</v>
      </c>
      <c r="B547" s="264">
        <v>39268</v>
      </c>
      <c r="C547" s="267">
        <v>271.5</v>
      </c>
      <c r="D547" s="267">
        <v>164</v>
      </c>
      <c r="E547" s="392">
        <v>210</v>
      </c>
      <c r="Z547" s="322">
        <v>39296</v>
      </c>
      <c r="AA547" s="323">
        <v>252</v>
      </c>
      <c r="AB547" s="323">
        <v>180</v>
      </c>
    </row>
    <row r="548" spans="1:28">
      <c r="A548" s="264">
        <v>39275</v>
      </c>
      <c r="B548" s="264">
        <v>39275</v>
      </c>
      <c r="C548" s="267">
        <v>268</v>
      </c>
      <c r="D548" s="267">
        <v>165</v>
      </c>
      <c r="E548" s="392">
        <v>216.5</v>
      </c>
      <c r="Z548" s="322">
        <v>39303</v>
      </c>
      <c r="AA548" s="323">
        <v>245.5</v>
      </c>
      <c r="AB548" s="323">
        <v>184.5</v>
      </c>
    </row>
    <row r="549" spans="1:28">
      <c r="A549" s="264">
        <v>39282</v>
      </c>
      <c r="B549" s="264">
        <v>39282</v>
      </c>
      <c r="C549" s="267">
        <v>263</v>
      </c>
      <c r="D549" s="267">
        <v>165</v>
      </c>
      <c r="E549" s="392">
        <v>222</v>
      </c>
      <c r="Z549" s="322">
        <v>39310</v>
      </c>
      <c r="AA549" s="323">
        <v>252.5</v>
      </c>
      <c r="AB549" s="323">
        <v>187.5</v>
      </c>
    </row>
    <row r="550" spans="1:28">
      <c r="A550" s="264">
        <v>39289</v>
      </c>
      <c r="B550" s="264">
        <v>39289</v>
      </c>
      <c r="C550" s="267">
        <v>257</v>
      </c>
      <c r="D550" s="267">
        <v>167.5</v>
      </c>
      <c r="E550" s="392">
        <v>227.5</v>
      </c>
      <c r="Z550" s="322">
        <v>39317</v>
      </c>
      <c r="AA550" s="323">
        <v>276.5</v>
      </c>
      <c r="AB550" s="323">
        <v>190</v>
      </c>
    </row>
    <row r="551" spans="1:28">
      <c r="A551" s="264">
        <v>39296</v>
      </c>
      <c r="B551" s="264">
        <v>39296</v>
      </c>
      <c r="C551" s="267">
        <v>252</v>
      </c>
      <c r="D551" s="267">
        <v>177.5</v>
      </c>
      <c r="E551" s="392">
        <v>227.5</v>
      </c>
      <c r="Z551" s="322">
        <v>39324</v>
      </c>
      <c r="AA551" s="323">
        <v>297.5</v>
      </c>
      <c r="AB551" s="323">
        <v>197</v>
      </c>
    </row>
    <row r="552" spans="1:28">
      <c r="A552" s="264">
        <v>39303</v>
      </c>
      <c r="B552" s="264">
        <v>39303</v>
      </c>
      <c r="C552" s="267">
        <v>245.5</v>
      </c>
      <c r="D552" s="267">
        <v>180</v>
      </c>
      <c r="E552" s="392">
        <v>237.5</v>
      </c>
      <c r="Z552" s="322">
        <v>39331</v>
      </c>
      <c r="AA552" s="323">
        <v>302.5</v>
      </c>
      <c r="AB552" s="323">
        <v>202.5</v>
      </c>
    </row>
    <row r="553" spans="1:28">
      <c r="A553" s="264">
        <v>39310</v>
      </c>
      <c r="B553" s="264">
        <v>39310</v>
      </c>
      <c r="C553" s="267">
        <v>252.5</v>
      </c>
      <c r="D553" s="267">
        <v>184.5</v>
      </c>
      <c r="E553" s="392">
        <v>241</v>
      </c>
      <c r="Z553" s="322">
        <v>39338</v>
      </c>
      <c r="AA553" s="323">
        <v>306.5</v>
      </c>
      <c r="AB553" s="323">
        <v>207.5</v>
      </c>
    </row>
    <row r="554" spans="1:28">
      <c r="A554" s="264">
        <v>39317</v>
      </c>
      <c r="B554" s="264">
        <v>39317</v>
      </c>
      <c r="C554" s="267">
        <v>276.5</v>
      </c>
      <c r="D554" s="267">
        <v>187.5</v>
      </c>
      <c r="E554" s="392">
        <v>241</v>
      </c>
      <c r="Z554" s="322">
        <v>39345</v>
      </c>
      <c r="AA554" s="323">
        <v>305.5</v>
      </c>
      <c r="AB554" s="323">
        <v>214.5</v>
      </c>
    </row>
    <row r="555" spans="1:28">
      <c r="A555" s="264">
        <v>39324</v>
      </c>
      <c r="B555" s="264">
        <v>39324</v>
      </c>
      <c r="C555" s="267">
        <v>297.5</v>
      </c>
      <c r="D555" s="267">
        <v>190</v>
      </c>
      <c r="E555" s="392">
        <v>241</v>
      </c>
      <c r="Z555" s="322">
        <v>39352</v>
      </c>
      <c r="AA555" s="323">
        <v>313.5</v>
      </c>
      <c r="AB555" s="323">
        <v>215.5</v>
      </c>
    </row>
    <row r="556" spans="1:28">
      <c r="A556" s="264">
        <v>39331</v>
      </c>
      <c r="B556" s="264">
        <v>39331</v>
      </c>
      <c r="C556" s="267">
        <v>302.5</v>
      </c>
      <c r="D556" s="267">
        <v>197</v>
      </c>
      <c r="E556" s="392">
        <v>241</v>
      </c>
      <c r="Z556" s="322">
        <v>39359</v>
      </c>
      <c r="AA556" s="323">
        <v>318.5</v>
      </c>
      <c r="AB556" s="323">
        <v>216.5</v>
      </c>
    </row>
    <row r="557" spans="1:28">
      <c r="A557" s="264">
        <v>39338</v>
      </c>
      <c r="B557" s="264">
        <v>39338</v>
      </c>
      <c r="C557" s="267">
        <v>306.5</v>
      </c>
      <c r="D557" s="267">
        <v>202.5</v>
      </c>
      <c r="E557" s="392">
        <v>231.5</v>
      </c>
      <c r="Z557" s="322">
        <v>39366</v>
      </c>
      <c r="AA557" s="323">
        <v>324.5</v>
      </c>
      <c r="AB557" s="323">
        <v>217.5</v>
      </c>
    </row>
    <row r="558" spans="1:28">
      <c r="A558" s="264">
        <v>39345</v>
      </c>
      <c r="B558" s="264">
        <v>39345</v>
      </c>
      <c r="C558" s="267">
        <v>305.5</v>
      </c>
      <c r="D558" s="267">
        <v>207.5</v>
      </c>
      <c r="E558" s="392">
        <v>242.5</v>
      </c>
      <c r="Z558" s="322">
        <v>39373</v>
      </c>
      <c r="AA558" s="323">
        <v>328.5</v>
      </c>
      <c r="AB558" s="323">
        <v>224</v>
      </c>
    </row>
    <row r="559" spans="1:28">
      <c r="A559" s="264">
        <v>39352</v>
      </c>
      <c r="B559" s="264">
        <v>39352</v>
      </c>
      <c r="C559" s="267">
        <v>313.5</v>
      </c>
      <c r="D559" s="267">
        <v>214.5</v>
      </c>
      <c r="E559" s="392">
        <v>242.5</v>
      </c>
      <c r="Z559" s="322">
        <v>39380</v>
      </c>
      <c r="AA559" s="323">
        <v>327.5</v>
      </c>
      <c r="AB559" s="323">
        <v>240.5</v>
      </c>
    </row>
    <row r="560" spans="1:28">
      <c r="A560" s="264">
        <v>39359</v>
      </c>
      <c r="B560" s="264">
        <v>39359</v>
      </c>
      <c r="C560" s="267">
        <v>318.5</v>
      </c>
      <c r="D560" s="267">
        <v>215.5</v>
      </c>
      <c r="E560" s="392">
        <v>242.5</v>
      </c>
      <c r="Z560" s="322">
        <v>39387</v>
      </c>
      <c r="AA560" s="323">
        <v>346.5</v>
      </c>
      <c r="AB560" s="323">
        <v>254</v>
      </c>
    </row>
    <row r="561" spans="1:28">
      <c r="A561" s="264">
        <v>39366</v>
      </c>
      <c r="B561" s="264">
        <v>39366</v>
      </c>
      <c r="C561" s="267">
        <v>324.5</v>
      </c>
      <c r="D561" s="267">
        <v>216.5</v>
      </c>
      <c r="E561" s="392">
        <v>242.5</v>
      </c>
      <c r="Z561" s="322">
        <v>39394</v>
      </c>
      <c r="AA561" s="323">
        <v>352.5</v>
      </c>
      <c r="AB561" s="323">
        <v>272.5</v>
      </c>
    </row>
    <row r="562" spans="1:28">
      <c r="A562" s="264">
        <v>39373</v>
      </c>
      <c r="B562" s="264">
        <v>39373</v>
      </c>
      <c r="C562" s="267">
        <v>328.5</v>
      </c>
      <c r="D562" s="267">
        <v>217.5</v>
      </c>
      <c r="E562" s="392">
        <v>251</v>
      </c>
      <c r="Z562" s="322">
        <v>39401</v>
      </c>
      <c r="AA562" s="323">
        <v>360</v>
      </c>
      <c r="AB562" s="323">
        <v>298.5</v>
      </c>
    </row>
    <row r="563" spans="1:28">
      <c r="A563" s="264">
        <v>39380</v>
      </c>
      <c r="B563" s="264">
        <v>39380</v>
      </c>
      <c r="C563" s="267">
        <v>327.5</v>
      </c>
      <c r="D563" s="267">
        <v>224</v>
      </c>
      <c r="E563" s="392">
        <v>259</v>
      </c>
      <c r="Z563" s="322">
        <v>39408</v>
      </c>
      <c r="AA563" s="323">
        <v>385</v>
      </c>
      <c r="AB563" s="323">
        <v>297</v>
      </c>
    </row>
    <row r="564" spans="1:28">
      <c r="A564" s="264">
        <v>39387</v>
      </c>
      <c r="B564" s="264">
        <v>39387</v>
      </c>
      <c r="C564" s="267">
        <v>346.5</v>
      </c>
      <c r="D564" s="267">
        <v>240.5</v>
      </c>
      <c r="E564" s="392">
        <v>262.5</v>
      </c>
      <c r="Z564" s="322">
        <v>39415</v>
      </c>
      <c r="AA564" s="323">
        <v>390</v>
      </c>
      <c r="AB564" s="323">
        <v>300.5</v>
      </c>
    </row>
    <row r="565" spans="1:28">
      <c r="A565" s="264">
        <v>39394</v>
      </c>
      <c r="B565" s="264">
        <v>39394</v>
      </c>
      <c r="C565" s="267">
        <v>352.5</v>
      </c>
      <c r="D565" s="267">
        <v>254</v>
      </c>
      <c r="E565" s="392">
        <v>265</v>
      </c>
      <c r="Z565" s="322">
        <v>39422</v>
      </c>
      <c r="AA565" s="323">
        <v>391</v>
      </c>
      <c r="AB565" s="323">
        <v>315</v>
      </c>
    </row>
    <row r="566" spans="1:28">
      <c r="A566" s="264">
        <v>39401</v>
      </c>
      <c r="B566" s="264">
        <v>39401</v>
      </c>
      <c r="C566" s="267">
        <v>360</v>
      </c>
      <c r="D566" s="267">
        <v>272.5</v>
      </c>
      <c r="E566" s="392">
        <v>265</v>
      </c>
      <c r="Z566" s="322">
        <v>39429</v>
      </c>
      <c r="AA566" s="323">
        <v>384</v>
      </c>
      <c r="AB566" s="323">
        <v>317.5</v>
      </c>
    </row>
    <row r="567" spans="1:28">
      <c r="A567" s="264">
        <v>39408</v>
      </c>
      <c r="B567" s="264">
        <v>39408</v>
      </c>
      <c r="C567" s="267">
        <v>385</v>
      </c>
      <c r="D567" s="267">
        <v>298.5</v>
      </c>
      <c r="E567" s="392">
        <v>280</v>
      </c>
      <c r="Z567" s="322">
        <v>39436</v>
      </c>
      <c r="AA567" s="323">
        <v>380</v>
      </c>
      <c r="AB567" s="323">
        <v>322.5</v>
      </c>
    </row>
    <row r="568" spans="1:28">
      <c r="A568" s="264">
        <v>39415</v>
      </c>
      <c r="B568" s="264">
        <v>39415</v>
      </c>
      <c r="C568" s="267">
        <v>390</v>
      </c>
      <c r="D568" s="267">
        <v>297</v>
      </c>
      <c r="E568" s="392">
        <v>302.5</v>
      </c>
      <c r="Z568" s="322">
        <v>39450</v>
      </c>
      <c r="AA568" s="323">
        <v>377.5</v>
      </c>
      <c r="AB568" s="323">
        <v>325</v>
      </c>
    </row>
    <row r="569" spans="1:28">
      <c r="A569" s="264">
        <v>39422</v>
      </c>
      <c r="B569" s="264">
        <v>39422</v>
      </c>
      <c r="C569" s="267">
        <v>391</v>
      </c>
      <c r="D569" s="267">
        <v>300.5</v>
      </c>
      <c r="E569" s="392">
        <v>305</v>
      </c>
      <c r="Z569" s="322">
        <v>39457</v>
      </c>
      <c r="AA569" s="323">
        <v>377.5</v>
      </c>
      <c r="AB569" s="323">
        <v>324</v>
      </c>
    </row>
    <row r="570" spans="1:28">
      <c r="A570" s="264">
        <v>39429</v>
      </c>
      <c r="B570" s="264">
        <v>39429</v>
      </c>
      <c r="C570" s="267">
        <v>384</v>
      </c>
      <c r="D570" s="267">
        <v>315</v>
      </c>
      <c r="E570" s="392">
        <v>309</v>
      </c>
      <c r="Z570" s="322">
        <v>39464</v>
      </c>
      <c r="AA570" s="323">
        <v>370</v>
      </c>
      <c r="AB570" s="323">
        <v>322.5</v>
      </c>
    </row>
    <row r="571" spans="1:28">
      <c r="A571" s="264">
        <v>39436</v>
      </c>
      <c r="B571" s="264">
        <v>39436</v>
      </c>
      <c r="C571" s="267">
        <v>380</v>
      </c>
      <c r="D571" s="267">
        <v>317.5</v>
      </c>
      <c r="E571" s="392">
        <v>309</v>
      </c>
      <c r="Z571" s="322">
        <v>39471</v>
      </c>
      <c r="AA571" s="323">
        <v>360</v>
      </c>
      <c r="AB571" s="323">
        <v>305</v>
      </c>
    </row>
    <row r="572" spans="1:28">
      <c r="A572" s="264">
        <v>39450</v>
      </c>
      <c r="B572" s="264">
        <v>39450</v>
      </c>
      <c r="C572" s="267">
        <v>377.5</v>
      </c>
      <c r="D572" s="267">
        <v>322.5</v>
      </c>
      <c r="E572" s="392">
        <v>309</v>
      </c>
      <c r="Z572" s="322">
        <v>39478</v>
      </c>
      <c r="AA572" s="323">
        <v>340</v>
      </c>
      <c r="AB572" s="323">
        <v>300</v>
      </c>
    </row>
    <row r="573" spans="1:28">
      <c r="A573" s="264">
        <v>39457</v>
      </c>
      <c r="B573" s="264">
        <v>39457</v>
      </c>
      <c r="C573" s="267">
        <v>377.5</v>
      </c>
      <c r="D573" s="267">
        <v>325</v>
      </c>
      <c r="E573" s="392">
        <v>337.5</v>
      </c>
      <c r="Z573" s="322">
        <v>39485</v>
      </c>
      <c r="AA573" s="323">
        <v>322.5</v>
      </c>
      <c r="AB573" s="323">
        <v>302.5</v>
      </c>
    </row>
    <row r="574" spans="1:28">
      <c r="A574" s="264">
        <v>39464</v>
      </c>
      <c r="B574" s="264">
        <v>39464</v>
      </c>
      <c r="C574" s="267">
        <v>370</v>
      </c>
      <c r="D574" s="267">
        <v>324</v>
      </c>
      <c r="E574" s="392">
        <v>339.5</v>
      </c>
      <c r="Z574" s="322">
        <v>39492</v>
      </c>
      <c r="AA574" s="323">
        <v>327.5</v>
      </c>
      <c r="AB574" s="323">
        <v>300</v>
      </c>
    </row>
    <row r="575" spans="1:28">
      <c r="A575" s="264">
        <v>39471</v>
      </c>
      <c r="B575" s="264">
        <v>39471</v>
      </c>
      <c r="C575" s="267">
        <v>360</v>
      </c>
      <c r="D575" s="267">
        <v>322.5</v>
      </c>
      <c r="E575" s="392">
        <v>339.5</v>
      </c>
      <c r="Z575" s="322">
        <v>39499</v>
      </c>
      <c r="AA575" s="323">
        <v>324</v>
      </c>
      <c r="AB575" s="323">
        <v>307.5</v>
      </c>
    </row>
    <row r="576" spans="1:28">
      <c r="A576" s="264">
        <v>39478</v>
      </c>
      <c r="B576" s="264">
        <v>39478</v>
      </c>
      <c r="C576" s="267">
        <v>340</v>
      </c>
      <c r="D576" s="267">
        <v>305</v>
      </c>
      <c r="E576" s="392">
        <v>299</v>
      </c>
      <c r="Z576" s="322">
        <v>39506</v>
      </c>
      <c r="AA576" s="323">
        <v>315</v>
      </c>
      <c r="AB576" s="323">
        <v>305</v>
      </c>
    </row>
    <row r="577" spans="1:28">
      <c r="A577" s="264">
        <v>39485</v>
      </c>
      <c r="B577" s="264">
        <v>39485</v>
      </c>
      <c r="C577" s="267">
        <v>322.5</v>
      </c>
      <c r="D577" s="267">
        <v>300</v>
      </c>
      <c r="E577" s="392">
        <v>317.5</v>
      </c>
      <c r="Z577" s="322">
        <v>39513</v>
      </c>
      <c r="AA577" s="323">
        <v>330</v>
      </c>
      <c r="AB577" s="323">
        <v>310</v>
      </c>
    </row>
    <row r="578" spans="1:28">
      <c r="A578" s="264">
        <v>39492</v>
      </c>
      <c r="B578" s="264">
        <v>39492</v>
      </c>
      <c r="C578" s="267">
        <v>327.5</v>
      </c>
      <c r="D578" s="267">
        <v>302.5</v>
      </c>
      <c r="E578" s="392">
        <v>327.5</v>
      </c>
      <c r="Z578" s="322">
        <v>39520</v>
      </c>
      <c r="AA578" s="323">
        <v>365</v>
      </c>
      <c r="AB578" s="323">
        <v>320</v>
      </c>
    </row>
    <row r="579" spans="1:28">
      <c r="A579" s="264">
        <v>39499</v>
      </c>
      <c r="B579" s="264">
        <v>39499</v>
      </c>
      <c r="C579" s="267">
        <v>324</v>
      </c>
      <c r="D579" s="267">
        <v>300</v>
      </c>
      <c r="E579" s="392">
        <v>327.5</v>
      </c>
      <c r="Z579" s="322">
        <v>39527</v>
      </c>
      <c r="AA579" s="323">
        <v>392.5</v>
      </c>
      <c r="AB579" s="323">
        <v>318.5</v>
      </c>
    </row>
    <row r="580" spans="1:28">
      <c r="A580" s="264">
        <v>39506</v>
      </c>
      <c r="B580" s="264">
        <v>39506</v>
      </c>
      <c r="C580" s="267">
        <v>315</v>
      </c>
      <c r="D580" s="267">
        <v>307.5</v>
      </c>
      <c r="E580" s="392">
        <v>302.5</v>
      </c>
      <c r="Z580" s="322">
        <v>39534</v>
      </c>
      <c r="AA580" s="323">
        <v>382</v>
      </c>
      <c r="AB580" s="323">
        <v>318.5</v>
      </c>
    </row>
    <row r="581" spans="1:28">
      <c r="A581" s="264">
        <v>39513</v>
      </c>
      <c r="B581" s="264">
        <v>39513</v>
      </c>
      <c r="C581" s="267">
        <v>330</v>
      </c>
      <c r="D581" s="267">
        <v>305</v>
      </c>
      <c r="E581" s="392">
        <v>302.5</v>
      </c>
      <c r="Z581" s="322">
        <v>39541</v>
      </c>
      <c r="AA581" s="323">
        <v>385</v>
      </c>
      <c r="AB581" s="323">
        <v>310</v>
      </c>
    </row>
    <row r="582" spans="1:28">
      <c r="A582" s="264">
        <v>39520</v>
      </c>
      <c r="B582" s="264">
        <v>39520</v>
      </c>
      <c r="C582" s="267">
        <v>365</v>
      </c>
      <c r="D582" s="267">
        <v>310</v>
      </c>
      <c r="E582" s="392">
        <v>302.5</v>
      </c>
      <c r="Z582" s="322">
        <v>39548</v>
      </c>
      <c r="AA582" s="323">
        <v>407.5</v>
      </c>
      <c r="AB582" s="323">
        <v>327.5</v>
      </c>
    </row>
    <row r="583" spans="1:28">
      <c r="A583" s="264">
        <v>39527</v>
      </c>
      <c r="B583" s="264">
        <v>39527</v>
      </c>
      <c r="C583" s="267">
        <v>392.5</v>
      </c>
      <c r="D583" s="267">
        <v>320</v>
      </c>
      <c r="E583" s="392">
        <v>302.5</v>
      </c>
      <c r="Z583" s="322">
        <v>39555</v>
      </c>
      <c r="AA583" s="323">
        <v>477.5</v>
      </c>
      <c r="AB583" s="323">
        <v>345</v>
      </c>
    </row>
    <row r="584" spans="1:28">
      <c r="A584" s="264">
        <v>39534</v>
      </c>
      <c r="B584" s="264">
        <v>39534</v>
      </c>
      <c r="C584" s="267">
        <v>382</v>
      </c>
      <c r="D584" s="267">
        <v>318.5</v>
      </c>
      <c r="E584" s="392">
        <v>302.5</v>
      </c>
      <c r="Z584" s="322">
        <v>39562</v>
      </c>
      <c r="AA584" s="323">
        <v>530</v>
      </c>
      <c r="AB584" s="323">
        <v>345</v>
      </c>
    </row>
    <row r="585" spans="1:28">
      <c r="A585" s="264">
        <v>39541</v>
      </c>
      <c r="B585" s="264">
        <v>39541</v>
      </c>
      <c r="C585" s="267">
        <v>385</v>
      </c>
      <c r="D585" s="267">
        <v>318.5</v>
      </c>
      <c r="E585" s="392">
        <v>302.5</v>
      </c>
      <c r="Z585" s="322">
        <v>39569</v>
      </c>
      <c r="AA585" s="323">
        <v>585</v>
      </c>
      <c r="AB585" s="323">
        <v>345</v>
      </c>
    </row>
    <row r="586" spans="1:28">
      <c r="A586" s="264">
        <v>39548</v>
      </c>
      <c r="B586" s="264">
        <v>39548</v>
      </c>
      <c r="C586" s="267">
        <v>407.5</v>
      </c>
      <c r="D586" s="267">
        <v>310</v>
      </c>
      <c r="E586" s="392">
        <v>297.5</v>
      </c>
      <c r="Z586" s="322">
        <v>39576</v>
      </c>
      <c r="AA586" s="323">
        <v>592</v>
      </c>
      <c r="AB586" s="323">
        <v>355</v>
      </c>
    </row>
    <row r="587" spans="1:28">
      <c r="A587" s="264">
        <v>39555</v>
      </c>
      <c r="B587" s="264">
        <v>39555</v>
      </c>
      <c r="C587" s="267">
        <v>477.5</v>
      </c>
      <c r="D587" s="267">
        <v>327.5</v>
      </c>
      <c r="E587" s="393">
        <v>287.5</v>
      </c>
      <c r="Z587" s="322">
        <v>39583</v>
      </c>
      <c r="AA587" s="323">
        <v>612.5</v>
      </c>
      <c r="AB587" s="323">
        <v>355</v>
      </c>
    </row>
    <row r="588" spans="1:28">
      <c r="A588" s="264">
        <v>39562</v>
      </c>
      <c r="B588" s="264">
        <v>39562</v>
      </c>
      <c r="C588" s="267">
        <v>530</v>
      </c>
      <c r="D588" s="267">
        <v>345</v>
      </c>
      <c r="E588" s="393">
        <v>287.5</v>
      </c>
      <c r="Z588" s="322">
        <v>39597</v>
      </c>
      <c r="AA588" s="323">
        <v>620</v>
      </c>
      <c r="AB588" s="323">
        <v>340</v>
      </c>
    </row>
    <row r="589" spans="1:28">
      <c r="A589" s="264">
        <v>39737</v>
      </c>
      <c r="B589" s="264">
        <v>39737</v>
      </c>
      <c r="C589" s="267">
        <v>330</v>
      </c>
      <c r="D589" s="267">
        <v>290</v>
      </c>
      <c r="E589" s="392">
        <v>477.5</v>
      </c>
      <c r="Z589" s="322">
        <v>39765</v>
      </c>
      <c r="AA589" s="323">
        <v>250</v>
      </c>
      <c r="AB589" s="323">
        <v>155</v>
      </c>
    </row>
    <row r="590" spans="1:28">
      <c r="A590" s="264">
        <v>39744</v>
      </c>
      <c r="B590" s="264">
        <v>39744</v>
      </c>
      <c r="C590" s="267">
        <v>280</v>
      </c>
      <c r="D590" s="267">
        <v>255</v>
      </c>
      <c r="E590" s="392">
        <v>477.5</v>
      </c>
      <c r="Z590" s="322">
        <v>39772</v>
      </c>
      <c r="AA590" s="323">
        <v>238.5</v>
      </c>
      <c r="AB590" s="323">
        <v>142.5</v>
      </c>
    </row>
    <row r="591" spans="1:28">
      <c r="A591" s="264">
        <v>39751</v>
      </c>
      <c r="B591" s="264">
        <v>39751</v>
      </c>
      <c r="C591" s="267">
        <v>282.5</v>
      </c>
      <c r="D591" s="267">
        <v>192.5</v>
      </c>
      <c r="E591" s="392">
        <v>410</v>
      </c>
      <c r="Z591" s="322">
        <v>39779</v>
      </c>
      <c r="AA591" s="323">
        <v>240</v>
      </c>
      <c r="AB591" s="323">
        <v>142.5</v>
      </c>
    </row>
    <row r="592" spans="1:28">
      <c r="A592" s="264">
        <v>39758</v>
      </c>
      <c r="B592" s="264">
        <v>39758</v>
      </c>
      <c r="C592" s="267">
        <v>245</v>
      </c>
      <c r="D592" s="267">
        <v>170</v>
      </c>
      <c r="E592" s="392">
        <v>390</v>
      </c>
      <c r="Z592" s="322">
        <v>39786</v>
      </c>
      <c r="AA592" s="323">
        <v>236.5</v>
      </c>
      <c r="AB592" s="323">
        <v>142.5</v>
      </c>
    </row>
    <row r="593" spans="1:28">
      <c r="A593" s="264">
        <v>39765</v>
      </c>
      <c r="B593" s="264">
        <v>39765</v>
      </c>
      <c r="C593" s="267">
        <v>250</v>
      </c>
      <c r="D593" s="267">
        <v>165</v>
      </c>
      <c r="E593" s="392">
        <v>310</v>
      </c>
      <c r="Z593" s="322">
        <v>39793</v>
      </c>
      <c r="AA593" s="323">
        <v>230.5</v>
      </c>
      <c r="AB593" s="323">
        <v>137.5</v>
      </c>
    </row>
    <row r="594" spans="1:28">
      <c r="A594" s="264">
        <v>39772</v>
      </c>
      <c r="B594" s="264">
        <v>39772</v>
      </c>
      <c r="C594" s="267">
        <v>238.5</v>
      </c>
      <c r="D594" s="267">
        <v>155</v>
      </c>
      <c r="E594" s="392">
        <v>260</v>
      </c>
      <c r="Z594" s="322">
        <v>39800</v>
      </c>
      <c r="AA594" s="323">
        <v>226</v>
      </c>
      <c r="AB594" s="323">
        <v>127.5</v>
      </c>
    </row>
    <row r="595" spans="1:28">
      <c r="A595" s="264">
        <v>39779</v>
      </c>
      <c r="B595" s="264">
        <v>39779</v>
      </c>
      <c r="C595" s="267">
        <v>240</v>
      </c>
      <c r="D595" s="267">
        <v>142.5</v>
      </c>
      <c r="E595" s="392">
        <v>260</v>
      </c>
      <c r="Z595" s="322">
        <v>39813</v>
      </c>
      <c r="AA595" s="323">
        <v>215</v>
      </c>
      <c r="AB595" s="323">
        <v>147.5</v>
      </c>
    </row>
    <row r="596" spans="1:28">
      <c r="A596" s="264">
        <v>39786</v>
      </c>
      <c r="B596" s="264">
        <v>39786</v>
      </c>
      <c r="C596" s="267">
        <v>236.5</v>
      </c>
      <c r="D596" s="267">
        <v>142.5</v>
      </c>
      <c r="E596" s="392">
        <v>260</v>
      </c>
      <c r="Z596" s="322">
        <v>39821</v>
      </c>
      <c r="AA596" s="323">
        <v>220</v>
      </c>
      <c r="AB596" s="323">
        <v>167.5</v>
      </c>
    </row>
    <row r="597" spans="1:28">
      <c r="A597" s="264">
        <v>39793</v>
      </c>
      <c r="B597" s="264">
        <v>39793</v>
      </c>
      <c r="C597" s="267">
        <v>230.5</v>
      </c>
      <c r="D597" s="267">
        <v>142.5</v>
      </c>
      <c r="E597" s="394">
        <v>250</v>
      </c>
      <c r="Z597" s="322">
        <v>39828</v>
      </c>
      <c r="AA597" s="323">
        <v>272.5</v>
      </c>
      <c r="AB597" s="323">
        <v>180</v>
      </c>
    </row>
    <row r="598" spans="1:28">
      <c r="A598" s="264">
        <v>39800</v>
      </c>
      <c r="B598" s="264">
        <v>39800</v>
      </c>
      <c r="C598" s="267">
        <v>226</v>
      </c>
      <c r="D598" s="267">
        <v>137.5</v>
      </c>
      <c r="E598" s="394">
        <v>250</v>
      </c>
      <c r="Z598" s="322">
        <v>39835</v>
      </c>
      <c r="AA598" s="323">
        <v>280</v>
      </c>
      <c r="AB598" s="323">
        <v>190</v>
      </c>
    </row>
    <row r="599" spans="1:28">
      <c r="A599" s="264">
        <v>39813</v>
      </c>
      <c r="B599" s="264">
        <v>39813</v>
      </c>
      <c r="C599" s="267">
        <v>215</v>
      </c>
      <c r="D599" s="267">
        <v>127.5</v>
      </c>
      <c r="E599" s="394">
        <v>240</v>
      </c>
      <c r="Z599" s="322">
        <v>39842</v>
      </c>
      <c r="AA599" s="323">
        <v>260</v>
      </c>
      <c r="AB599" s="323">
        <v>195</v>
      </c>
    </row>
    <row r="600" spans="1:28">
      <c r="A600" s="264">
        <v>39821</v>
      </c>
      <c r="B600" s="264">
        <v>39821</v>
      </c>
      <c r="C600" s="267">
        <v>220</v>
      </c>
      <c r="D600" s="267">
        <v>147.5</v>
      </c>
      <c r="E600" s="394">
        <v>230</v>
      </c>
      <c r="Z600" s="322">
        <v>39849</v>
      </c>
      <c r="AA600" s="323">
        <v>263</v>
      </c>
      <c r="AB600" s="323">
        <v>200</v>
      </c>
    </row>
    <row r="601" spans="1:28">
      <c r="A601" s="264">
        <v>39828</v>
      </c>
      <c r="B601" s="264">
        <v>39828</v>
      </c>
      <c r="C601" s="267">
        <v>272.5</v>
      </c>
      <c r="D601" s="267">
        <v>167.5</v>
      </c>
      <c r="E601" s="394">
        <v>220</v>
      </c>
      <c r="Z601" s="322">
        <v>39856</v>
      </c>
      <c r="AA601" s="323">
        <v>272.5</v>
      </c>
      <c r="AB601" s="323">
        <v>204</v>
      </c>
    </row>
    <row r="602" spans="1:28">
      <c r="A602" s="264">
        <v>39835</v>
      </c>
      <c r="B602" s="264">
        <v>39835</v>
      </c>
      <c r="C602" s="267">
        <v>280</v>
      </c>
      <c r="D602" s="267">
        <v>180</v>
      </c>
      <c r="E602" s="394">
        <v>220</v>
      </c>
      <c r="Z602" s="322">
        <v>39863</v>
      </c>
      <c r="AA602" s="323">
        <v>275</v>
      </c>
      <c r="AB602" s="323">
        <v>202.5</v>
      </c>
    </row>
    <row r="603" spans="1:28">
      <c r="A603" s="264">
        <v>39842</v>
      </c>
      <c r="B603" s="264">
        <v>39842</v>
      </c>
      <c r="C603" s="267">
        <v>260</v>
      </c>
      <c r="D603" s="267">
        <v>190</v>
      </c>
      <c r="E603" s="394">
        <v>210</v>
      </c>
      <c r="Z603" s="322">
        <v>39870</v>
      </c>
      <c r="AA603" s="323">
        <v>278</v>
      </c>
      <c r="AB603" s="323">
        <v>192.5</v>
      </c>
    </row>
    <row r="604" spans="1:28">
      <c r="A604" s="264">
        <v>39849</v>
      </c>
      <c r="B604" s="264">
        <v>39849</v>
      </c>
      <c r="C604" s="267">
        <v>263</v>
      </c>
      <c r="D604" s="267">
        <v>195</v>
      </c>
      <c r="E604" s="394">
        <v>200</v>
      </c>
      <c r="Z604" s="322">
        <v>39877</v>
      </c>
      <c r="AA604" s="323">
        <v>275</v>
      </c>
      <c r="AB604" s="323">
        <v>187.5</v>
      </c>
    </row>
    <row r="605" spans="1:28">
      <c r="A605" s="264">
        <v>39856</v>
      </c>
      <c r="B605" s="264">
        <v>39856</v>
      </c>
      <c r="C605" s="267">
        <v>272.5</v>
      </c>
      <c r="D605" s="267">
        <v>200</v>
      </c>
      <c r="E605" s="394">
        <v>190</v>
      </c>
      <c r="Z605" s="322">
        <v>39884</v>
      </c>
      <c r="AA605" s="323">
        <v>272.5</v>
      </c>
      <c r="AB605" s="323">
        <v>170</v>
      </c>
    </row>
    <row r="606" spans="1:28">
      <c r="A606" s="264">
        <v>39863</v>
      </c>
      <c r="B606" s="264">
        <v>39863</v>
      </c>
      <c r="C606" s="267">
        <v>275</v>
      </c>
      <c r="D606" s="267">
        <v>204</v>
      </c>
      <c r="E606" s="392">
        <v>195</v>
      </c>
      <c r="Z606" s="322">
        <v>39891</v>
      </c>
      <c r="AA606" s="323">
        <v>257.5</v>
      </c>
      <c r="AB606" s="323">
        <v>165</v>
      </c>
    </row>
    <row r="607" spans="1:28">
      <c r="A607" s="264">
        <v>39870</v>
      </c>
      <c r="B607" s="264">
        <v>39870</v>
      </c>
      <c r="C607" s="267">
        <v>278</v>
      </c>
      <c r="D607" s="267">
        <v>202.5</v>
      </c>
      <c r="E607" s="392">
        <v>195</v>
      </c>
      <c r="Z607" s="322">
        <v>39898</v>
      </c>
      <c r="AA607" s="323">
        <v>248.5</v>
      </c>
      <c r="AB607" s="323">
        <v>150</v>
      </c>
    </row>
    <row r="608" spans="1:28">
      <c r="A608" s="264">
        <v>39877</v>
      </c>
      <c r="B608" s="264">
        <v>39877</v>
      </c>
      <c r="C608" s="267">
        <v>275</v>
      </c>
      <c r="D608" s="267">
        <v>192.5</v>
      </c>
      <c r="E608" s="392">
        <v>190</v>
      </c>
      <c r="Z608" s="322">
        <v>39905</v>
      </c>
      <c r="AA608" s="323">
        <v>248</v>
      </c>
      <c r="AB608" s="323">
        <v>142.5</v>
      </c>
    </row>
    <row r="609" spans="1:28">
      <c r="A609" s="264">
        <v>39884</v>
      </c>
      <c r="B609" s="264">
        <v>39884</v>
      </c>
      <c r="C609" s="267">
        <v>272.5</v>
      </c>
      <c r="D609" s="267">
        <v>187.5</v>
      </c>
      <c r="E609" s="392">
        <v>190</v>
      </c>
      <c r="Z609" s="322">
        <v>39912</v>
      </c>
      <c r="AA609" s="323">
        <v>245.5</v>
      </c>
      <c r="AB609" s="323">
        <v>134</v>
      </c>
    </row>
    <row r="610" spans="1:28">
      <c r="A610" s="264">
        <v>39891</v>
      </c>
      <c r="B610" s="264">
        <v>39891</v>
      </c>
      <c r="C610" s="267">
        <v>257.5</v>
      </c>
      <c r="D610" s="267">
        <v>170</v>
      </c>
      <c r="E610" s="392">
        <v>190</v>
      </c>
      <c r="Z610" s="322">
        <v>39919</v>
      </c>
      <c r="AA610" s="323">
        <v>238</v>
      </c>
      <c r="AB610" s="323">
        <v>141.5</v>
      </c>
    </row>
    <row r="611" spans="1:28">
      <c r="A611" s="264">
        <v>39898</v>
      </c>
      <c r="B611" s="264">
        <v>39898</v>
      </c>
      <c r="C611" s="267">
        <v>248.5</v>
      </c>
      <c r="D611" s="267">
        <v>165</v>
      </c>
      <c r="E611" s="392">
        <v>190</v>
      </c>
      <c r="Z611" s="322">
        <v>39926</v>
      </c>
      <c r="AA611" s="323">
        <v>236</v>
      </c>
      <c r="AB611" s="323">
        <v>143.5</v>
      </c>
    </row>
    <row r="612" spans="1:28">
      <c r="A612" s="264">
        <v>39905</v>
      </c>
      <c r="B612" s="264">
        <v>39905</v>
      </c>
      <c r="C612" s="267">
        <v>248</v>
      </c>
      <c r="D612" s="267">
        <v>150</v>
      </c>
      <c r="E612" s="392">
        <v>190</v>
      </c>
      <c r="Z612" s="322">
        <v>39933</v>
      </c>
      <c r="AA612" s="323">
        <v>241</v>
      </c>
      <c r="AB612" s="323">
        <v>142.5</v>
      </c>
    </row>
    <row r="613" spans="1:28">
      <c r="A613" s="264">
        <v>39912</v>
      </c>
      <c r="B613" s="264">
        <v>39912</v>
      </c>
      <c r="C613" s="267">
        <v>245.5</v>
      </c>
      <c r="D613" s="267">
        <v>142.5</v>
      </c>
      <c r="E613" s="392">
        <v>175</v>
      </c>
      <c r="Z613" s="322">
        <v>39940</v>
      </c>
      <c r="AA613" s="323">
        <v>242</v>
      </c>
      <c r="AB613" s="323">
        <v>142.5</v>
      </c>
    </row>
    <row r="614" spans="1:28">
      <c r="A614" s="264">
        <v>39919</v>
      </c>
      <c r="B614" s="264">
        <v>39919</v>
      </c>
      <c r="C614" s="267">
        <v>238</v>
      </c>
      <c r="D614" s="267">
        <v>134</v>
      </c>
      <c r="E614" s="392">
        <v>175</v>
      </c>
      <c r="Z614" s="322">
        <v>39947</v>
      </c>
      <c r="AA614" s="323">
        <v>242</v>
      </c>
      <c r="AB614" s="323">
        <v>140.5</v>
      </c>
    </row>
    <row r="615" spans="1:28">
      <c r="A615" s="264">
        <v>39926</v>
      </c>
      <c r="B615" s="264">
        <v>39926</v>
      </c>
      <c r="C615" s="267">
        <v>236</v>
      </c>
      <c r="D615" s="267">
        <v>141.5</v>
      </c>
      <c r="E615" s="392">
        <v>175</v>
      </c>
      <c r="Z615" s="322">
        <v>39954</v>
      </c>
      <c r="AA615" s="323">
        <v>232.5</v>
      </c>
      <c r="AB615" s="323">
        <v>140</v>
      </c>
    </row>
    <row r="616" spans="1:28">
      <c r="A616" s="264">
        <v>39933</v>
      </c>
      <c r="B616" s="264">
        <v>39933</v>
      </c>
      <c r="C616" s="267">
        <v>241</v>
      </c>
      <c r="D616" s="267">
        <v>143.5</v>
      </c>
      <c r="E616" s="392">
        <v>175</v>
      </c>
      <c r="Z616" s="322">
        <v>39968</v>
      </c>
      <c r="AA616" s="323">
        <v>233.5</v>
      </c>
      <c r="AB616" s="323">
        <v>140</v>
      </c>
    </row>
    <row r="617" spans="1:28">
      <c r="A617" s="264">
        <v>39940</v>
      </c>
      <c r="B617" s="264">
        <v>39940</v>
      </c>
      <c r="C617" s="267">
        <v>242</v>
      </c>
      <c r="D617" s="267">
        <v>142.5</v>
      </c>
      <c r="E617" s="392">
        <v>172.5</v>
      </c>
      <c r="Z617" s="322">
        <v>39975</v>
      </c>
      <c r="AA617" s="323">
        <v>236</v>
      </c>
      <c r="AB617" s="323">
        <v>141</v>
      </c>
    </row>
    <row r="618" spans="1:28">
      <c r="A618" s="264">
        <v>39947</v>
      </c>
      <c r="B618" s="264">
        <v>39947</v>
      </c>
      <c r="C618" s="267">
        <v>242</v>
      </c>
      <c r="D618" s="267">
        <v>142.5</v>
      </c>
      <c r="E618" s="392">
        <v>162.5</v>
      </c>
      <c r="Z618" s="322">
        <v>39982</v>
      </c>
      <c r="AA618" s="323">
        <v>234</v>
      </c>
      <c r="AB618" s="323">
        <v>140.5</v>
      </c>
    </row>
    <row r="619" spans="1:28">
      <c r="A619" s="264">
        <v>39954</v>
      </c>
      <c r="B619" s="264">
        <v>39954</v>
      </c>
      <c r="C619" s="267">
        <v>232.5</v>
      </c>
      <c r="D619" s="267">
        <v>140.5</v>
      </c>
      <c r="E619" s="392">
        <v>162.5</v>
      </c>
      <c r="Z619" s="322">
        <v>39989</v>
      </c>
      <c r="AA619" s="323">
        <v>234</v>
      </c>
      <c r="AB619" s="323">
        <v>139</v>
      </c>
    </row>
    <row r="620" spans="1:28">
      <c r="A620" s="264">
        <v>39968</v>
      </c>
      <c r="B620" s="264">
        <v>39968</v>
      </c>
      <c r="C620" s="267">
        <v>233.5</v>
      </c>
      <c r="D620" s="267">
        <v>140</v>
      </c>
      <c r="E620" s="392">
        <v>162.5</v>
      </c>
      <c r="Z620" s="322">
        <v>39996</v>
      </c>
      <c r="AA620" s="323">
        <v>236</v>
      </c>
      <c r="AB620" s="323">
        <v>140</v>
      </c>
    </row>
    <row r="621" spans="1:28">
      <c r="A621" s="264">
        <v>39975</v>
      </c>
      <c r="B621" s="264">
        <v>39975</v>
      </c>
      <c r="C621" s="267">
        <v>236</v>
      </c>
      <c r="D621" s="267">
        <v>140</v>
      </c>
      <c r="E621" s="392">
        <v>162.5</v>
      </c>
      <c r="Z621" s="322">
        <v>40003</v>
      </c>
      <c r="AA621" s="323">
        <v>236</v>
      </c>
      <c r="AB621" s="323">
        <v>160.5</v>
      </c>
    </row>
    <row r="622" spans="1:28">
      <c r="A622" s="264">
        <v>39982</v>
      </c>
      <c r="B622" s="264">
        <v>39982</v>
      </c>
      <c r="C622" s="267">
        <v>234</v>
      </c>
      <c r="D622" s="267">
        <v>141</v>
      </c>
      <c r="E622" s="392">
        <v>137.5</v>
      </c>
      <c r="Z622" s="322">
        <v>40010</v>
      </c>
      <c r="AA622" s="323">
        <v>238</v>
      </c>
      <c r="AB622" s="323">
        <v>175</v>
      </c>
    </row>
    <row r="623" spans="1:28">
      <c r="A623" s="264">
        <v>39989</v>
      </c>
      <c r="B623" s="264">
        <v>39989</v>
      </c>
      <c r="C623" s="267">
        <v>234</v>
      </c>
      <c r="D623" s="267">
        <v>140.5</v>
      </c>
      <c r="E623" s="392">
        <v>137.5</v>
      </c>
      <c r="Z623" s="322">
        <v>40017</v>
      </c>
      <c r="AA623" s="323">
        <v>242.5</v>
      </c>
      <c r="AB623" s="323">
        <v>187</v>
      </c>
    </row>
    <row r="624" spans="1:28">
      <c r="A624" s="264">
        <v>39996</v>
      </c>
      <c r="B624" s="264">
        <v>39996</v>
      </c>
      <c r="C624" s="267">
        <v>236</v>
      </c>
      <c r="D624" s="267">
        <v>139</v>
      </c>
      <c r="E624" s="392">
        <v>132.5</v>
      </c>
      <c r="Z624" s="322">
        <v>40024</v>
      </c>
      <c r="AA624" s="323">
        <v>253.5</v>
      </c>
      <c r="AB624" s="323">
        <v>187.5</v>
      </c>
    </row>
    <row r="625" spans="1:28">
      <c r="A625" s="264">
        <v>40003</v>
      </c>
      <c r="B625" s="264">
        <v>40003</v>
      </c>
      <c r="C625" s="267">
        <v>236</v>
      </c>
      <c r="D625" s="267">
        <v>140</v>
      </c>
      <c r="E625" s="392">
        <v>132.5</v>
      </c>
      <c r="Z625" s="322">
        <v>40031</v>
      </c>
      <c r="AA625" s="323">
        <v>252.5</v>
      </c>
      <c r="AB625" s="323">
        <v>185.5</v>
      </c>
    </row>
    <row r="626" spans="1:28">
      <c r="A626" s="264">
        <v>40010</v>
      </c>
      <c r="B626" s="264">
        <v>40010</v>
      </c>
      <c r="C626" s="267">
        <v>238</v>
      </c>
      <c r="D626" s="267">
        <v>160.5</v>
      </c>
      <c r="E626" s="392">
        <v>132.5</v>
      </c>
      <c r="Z626" s="322">
        <v>40038</v>
      </c>
      <c r="AA626" s="323">
        <v>251.5</v>
      </c>
      <c r="AB626" s="323">
        <v>172</v>
      </c>
    </row>
    <row r="627" spans="1:28">
      <c r="A627" s="264">
        <v>40017</v>
      </c>
      <c r="B627" s="264">
        <v>40017</v>
      </c>
      <c r="C627" s="267">
        <v>242.5</v>
      </c>
      <c r="D627" s="267">
        <v>175</v>
      </c>
      <c r="E627" s="392">
        <v>132.5</v>
      </c>
      <c r="Z627" s="322">
        <v>40045</v>
      </c>
      <c r="AA627" s="323">
        <v>245.5</v>
      </c>
      <c r="AB627" s="323">
        <v>172</v>
      </c>
    </row>
    <row r="628" spans="1:28">
      <c r="A628" s="264">
        <v>40024</v>
      </c>
      <c r="B628" s="264">
        <v>40024</v>
      </c>
      <c r="C628" s="267">
        <v>253.5</v>
      </c>
      <c r="D628" s="267">
        <v>187</v>
      </c>
      <c r="E628" s="392">
        <v>132.5</v>
      </c>
      <c r="Z628" s="322">
        <v>40052</v>
      </c>
      <c r="AA628" s="323">
        <v>245.5</v>
      </c>
      <c r="AB628" s="323">
        <v>157.5</v>
      </c>
    </row>
    <row r="629" spans="1:28">
      <c r="A629" s="264">
        <v>40031</v>
      </c>
      <c r="B629" s="264">
        <v>40031</v>
      </c>
      <c r="C629" s="267">
        <v>252.5</v>
      </c>
      <c r="D629" s="267">
        <v>187.5</v>
      </c>
      <c r="E629" s="392">
        <v>132.5</v>
      </c>
      <c r="Z629" s="322">
        <v>40059</v>
      </c>
      <c r="AA629" s="323">
        <v>232.5</v>
      </c>
      <c r="AB629" s="323">
        <v>155.5</v>
      </c>
    </row>
    <row r="630" spans="1:28">
      <c r="A630" s="264">
        <v>40038</v>
      </c>
      <c r="B630" s="264">
        <v>40038</v>
      </c>
      <c r="C630" s="267">
        <v>251.5</v>
      </c>
      <c r="D630" s="267">
        <v>185.5</v>
      </c>
      <c r="E630" s="392">
        <v>132.5</v>
      </c>
      <c r="Z630" s="322">
        <v>40066</v>
      </c>
      <c r="AA630" s="323">
        <v>235</v>
      </c>
      <c r="AB630" s="323">
        <v>152</v>
      </c>
    </row>
    <row r="631" spans="1:28">
      <c r="A631" s="264">
        <v>40045</v>
      </c>
      <c r="B631" s="264">
        <v>40045</v>
      </c>
      <c r="C631" s="267">
        <v>245.5</v>
      </c>
      <c r="D631" s="267">
        <v>172</v>
      </c>
      <c r="E631" s="392">
        <v>98.5</v>
      </c>
      <c r="Z631" s="322">
        <v>40073</v>
      </c>
      <c r="AA631" s="323">
        <v>234</v>
      </c>
      <c r="AB631" s="323">
        <v>152</v>
      </c>
    </row>
    <row r="632" spans="1:28">
      <c r="A632" s="264">
        <v>40052</v>
      </c>
      <c r="B632" s="264">
        <v>40052</v>
      </c>
      <c r="C632" s="267">
        <v>245.5</v>
      </c>
      <c r="D632" s="267">
        <v>172</v>
      </c>
      <c r="E632" s="392">
        <v>98.5</v>
      </c>
      <c r="Z632" s="322">
        <v>40080</v>
      </c>
      <c r="AA632" s="323">
        <v>233.5</v>
      </c>
      <c r="AB632" s="323">
        <v>151</v>
      </c>
    </row>
    <row r="633" spans="1:28">
      <c r="A633" s="264">
        <v>40059</v>
      </c>
      <c r="B633" s="264">
        <v>40059</v>
      </c>
      <c r="C633" s="267">
        <v>232.5</v>
      </c>
      <c r="D633" s="267">
        <v>157.5</v>
      </c>
      <c r="E633" s="392">
        <v>116</v>
      </c>
      <c r="Z633" s="322">
        <v>40087</v>
      </c>
      <c r="AA633" s="323">
        <v>229</v>
      </c>
      <c r="AB633" s="323">
        <v>151</v>
      </c>
    </row>
    <row r="634" spans="1:28">
      <c r="A634" s="264">
        <v>40066</v>
      </c>
      <c r="B634" s="264">
        <v>40066</v>
      </c>
      <c r="C634" s="267">
        <v>235</v>
      </c>
      <c r="D634" s="267">
        <v>155.5</v>
      </c>
      <c r="E634" s="392">
        <v>132.5</v>
      </c>
      <c r="Z634" s="322">
        <v>40094</v>
      </c>
      <c r="AA634" s="323">
        <v>233</v>
      </c>
      <c r="AB634" s="323">
        <v>157.5</v>
      </c>
    </row>
    <row r="635" spans="1:28">
      <c r="A635" s="264">
        <v>40073</v>
      </c>
      <c r="B635" s="264">
        <v>40073</v>
      </c>
      <c r="C635" s="267">
        <v>234</v>
      </c>
      <c r="D635" s="267">
        <v>152</v>
      </c>
      <c r="E635" s="392">
        <v>132.5</v>
      </c>
      <c r="Z635" s="322">
        <v>40101</v>
      </c>
      <c r="AA635" s="323">
        <v>233</v>
      </c>
      <c r="AB635" s="323">
        <v>157</v>
      </c>
    </row>
    <row r="636" spans="1:28">
      <c r="A636" s="264">
        <v>40080</v>
      </c>
      <c r="B636" s="264">
        <v>40080</v>
      </c>
      <c r="C636" s="267">
        <v>233.5</v>
      </c>
      <c r="D636" s="267">
        <v>152</v>
      </c>
      <c r="E636" s="392">
        <v>132.5</v>
      </c>
      <c r="Z636" s="322">
        <v>40108</v>
      </c>
      <c r="AA636" s="323">
        <v>232</v>
      </c>
      <c r="AB636" s="323">
        <v>163.5</v>
      </c>
    </row>
    <row r="637" spans="1:28">
      <c r="A637" s="264">
        <v>40087</v>
      </c>
      <c r="B637" s="264">
        <v>40087</v>
      </c>
      <c r="C637" s="267">
        <v>229</v>
      </c>
      <c r="D637" s="267">
        <v>151</v>
      </c>
      <c r="E637" s="392">
        <v>162.5</v>
      </c>
      <c r="Z637" s="322">
        <v>40115</v>
      </c>
      <c r="AA637" s="323">
        <v>231.5</v>
      </c>
      <c r="AB637" s="323">
        <v>165</v>
      </c>
    </row>
    <row r="638" spans="1:28">
      <c r="A638" s="264">
        <v>40094</v>
      </c>
      <c r="B638" s="264">
        <v>40094</v>
      </c>
      <c r="C638" s="267">
        <v>233</v>
      </c>
      <c r="D638" s="267">
        <v>151</v>
      </c>
      <c r="E638" s="392">
        <v>162.5</v>
      </c>
      <c r="Z638" s="322">
        <v>40122</v>
      </c>
      <c r="AA638" s="323">
        <v>230.5</v>
      </c>
      <c r="AB638" s="323">
        <v>164.5</v>
      </c>
    </row>
    <row r="639" spans="1:28">
      <c r="A639" s="264">
        <v>40101</v>
      </c>
      <c r="B639" s="264">
        <v>40101</v>
      </c>
      <c r="C639" s="267">
        <v>233</v>
      </c>
      <c r="D639" s="267">
        <v>157.5</v>
      </c>
      <c r="E639" s="392">
        <v>142.5</v>
      </c>
      <c r="Z639" s="322">
        <v>40129</v>
      </c>
      <c r="AA639" s="323">
        <v>229</v>
      </c>
      <c r="AB639" s="323">
        <v>171.5</v>
      </c>
    </row>
    <row r="640" spans="1:28">
      <c r="A640" s="264">
        <v>40108</v>
      </c>
      <c r="B640" s="264">
        <v>40108</v>
      </c>
      <c r="C640" s="267">
        <v>232</v>
      </c>
      <c r="D640" s="267">
        <v>157</v>
      </c>
      <c r="E640" s="392">
        <v>142.5</v>
      </c>
      <c r="Z640" s="322">
        <v>40136</v>
      </c>
      <c r="AA640" s="323">
        <v>231</v>
      </c>
      <c r="AB640" s="323">
        <v>185</v>
      </c>
    </row>
    <row r="641" spans="1:28">
      <c r="A641" s="264">
        <v>40115</v>
      </c>
      <c r="B641" s="264">
        <v>40115</v>
      </c>
      <c r="C641" s="267">
        <v>231.5</v>
      </c>
      <c r="D641" s="267">
        <v>163.5</v>
      </c>
      <c r="E641" s="392">
        <v>137.5</v>
      </c>
      <c r="Z641" s="322">
        <v>40143</v>
      </c>
      <c r="AA641" s="323">
        <v>241.5</v>
      </c>
      <c r="AB641" s="323">
        <v>187.5</v>
      </c>
    </row>
    <row r="642" spans="1:28">
      <c r="A642" s="264">
        <v>40122</v>
      </c>
      <c r="B642" s="264">
        <v>40122</v>
      </c>
      <c r="C642" s="267">
        <v>230.5</v>
      </c>
      <c r="D642" s="267">
        <v>165</v>
      </c>
      <c r="E642" s="392">
        <v>136.5</v>
      </c>
      <c r="Z642" s="322">
        <v>40150</v>
      </c>
      <c r="AA642" s="323">
        <v>252.5</v>
      </c>
      <c r="AB642" s="323">
        <v>187.5</v>
      </c>
    </row>
    <row r="643" spans="1:28">
      <c r="A643" s="264">
        <v>40129</v>
      </c>
      <c r="B643" s="264">
        <v>40129</v>
      </c>
      <c r="C643" s="267">
        <v>229</v>
      </c>
      <c r="D643" s="267">
        <v>164.5</v>
      </c>
      <c r="E643" s="392">
        <v>136.5</v>
      </c>
      <c r="Z643" s="322">
        <v>40157</v>
      </c>
      <c r="AA643" s="323">
        <v>252.5</v>
      </c>
      <c r="AB643" s="323">
        <v>190</v>
      </c>
    </row>
    <row r="644" spans="1:28">
      <c r="A644" s="264">
        <v>40136</v>
      </c>
      <c r="B644" s="264">
        <v>40136</v>
      </c>
      <c r="C644" s="267">
        <v>231</v>
      </c>
      <c r="D644" s="267">
        <v>171.5</v>
      </c>
      <c r="E644" s="392">
        <v>136.5</v>
      </c>
      <c r="Z644" s="322">
        <v>40164</v>
      </c>
      <c r="AA644" s="323">
        <v>250</v>
      </c>
      <c r="AB644" s="323">
        <v>192.5</v>
      </c>
    </row>
    <row r="645" spans="1:28">
      <c r="A645" s="264">
        <v>40143</v>
      </c>
      <c r="B645" s="264">
        <v>40143</v>
      </c>
      <c r="C645" s="267">
        <v>241.5</v>
      </c>
      <c r="D645" s="267">
        <v>185</v>
      </c>
      <c r="E645" s="392">
        <v>136.5</v>
      </c>
      <c r="Z645" s="322">
        <v>40170</v>
      </c>
      <c r="AA645" s="323">
        <v>252.5</v>
      </c>
      <c r="AB645" s="323">
        <v>200</v>
      </c>
    </row>
    <row r="646" spans="1:28">
      <c r="A646" s="264">
        <v>40150</v>
      </c>
      <c r="B646" s="264">
        <v>40150</v>
      </c>
      <c r="C646" s="267">
        <v>252.5</v>
      </c>
      <c r="D646" s="267">
        <v>187.5</v>
      </c>
      <c r="E646" s="392">
        <v>136.5</v>
      </c>
      <c r="Z646" s="322">
        <v>40185</v>
      </c>
      <c r="AA646" s="324">
        <v>258.5</v>
      </c>
      <c r="AB646" s="323">
        <v>230</v>
      </c>
    </row>
    <row r="647" spans="1:28">
      <c r="A647" s="264">
        <v>40157</v>
      </c>
      <c r="B647" s="264">
        <v>40157</v>
      </c>
      <c r="C647" s="267">
        <v>252.5</v>
      </c>
      <c r="D647" s="267">
        <v>187.5</v>
      </c>
      <c r="E647" s="392">
        <v>152.5</v>
      </c>
      <c r="Z647" s="322">
        <v>40192</v>
      </c>
      <c r="AA647" s="324">
        <v>260</v>
      </c>
      <c r="AB647" s="323">
        <v>235</v>
      </c>
    </row>
    <row r="648" spans="1:28">
      <c r="A648" s="264">
        <v>40164</v>
      </c>
      <c r="B648" s="264">
        <v>40164</v>
      </c>
      <c r="C648" s="267">
        <v>250</v>
      </c>
      <c r="D648" s="267">
        <v>190</v>
      </c>
      <c r="E648" s="392">
        <v>152.5</v>
      </c>
      <c r="Z648" s="322">
        <v>40199</v>
      </c>
      <c r="AA648" s="324">
        <v>272</v>
      </c>
      <c r="AB648" s="323">
        <v>250</v>
      </c>
    </row>
    <row r="649" spans="1:28">
      <c r="A649" s="264">
        <v>40170</v>
      </c>
      <c r="B649" s="264">
        <v>40170</v>
      </c>
      <c r="C649" s="267">
        <v>252.5</v>
      </c>
      <c r="D649" s="267">
        <v>192.5</v>
      </c>
      <c r="E649" s="392">
        <v>152.5</v>
      </c>
      <c r="Z649" s="322">
        <v>40206</v>
      </c>
      <c r="AA649" s="324">
        <v>279</v>
      </c>
      <c r="AB649" s="323">
        <v>250</v>
      </c>
    </row>
    <row r="650" spans="1:28">
      <c r="A650" s="264">
        <v>40185</v>
      </c>
      <c r="B650" s="264">
        <v>40185</v>
      </c>
      <c r="C650" s="267">
        <v>258.5</v>
      </c>
      <c r="D650" s="267">
        <v>200</v>
      </c>
      <c r="E650" s="392">
        <v>157.5</v>
      </c>
      <c r="Z650" s="322">
        <v>40213</v>
      </c>
      <c r="AA650" s="324">
        <v>287</v>
      </c>
      <c r="AB650" s="323">
        <v>254</v>
      </c>
    </row>
    <row r="651" spans="1:28">
      <c r="A651" s="264">
        <v>40192</v>
      </c>
      <c r="B651" s="264">
        <v>40192</v>
      </c>
      <c r="C651" s="267">
        <v>260</v>
      </c>
      <c r="D651" s="267">
        <v>230</v>
      </c>
      <c r="E651" s="392">
        <v>179</v>
      </c>
      <c r="Z651" s="322">
        <v>40220</v>
      </c>
      <c r="AA651" s="324">
        <v>287</v>
      </c>
      <c r="AB651" s="323">
        <v>258.5</v>
      </c>
    </row>
    <row r="652" spans="1:28">
      <c r="A652" s="264">
        <v>40199</v>
      </c>
      <c r="B652" s="264">
        <v>40199</v>
      </c>
      <c r="C652" s="267">
        <v>272</v>
      </c>
      <c r="D652" s="267">
        <v>235</v>
      </c>
      <c r="E652" s="392">
        <v>179</v>
      </c>
      <c r="Z652" s="322">
        <v>40227</v>
      </c>
      <c r="AA652" s="324">
        <v>280</v>
      </c>
      <c r="AB652" s="323">
        <v>258.5</v>
      </c>
    </row>
    <row r="653" spans="1:28">
      <c r="A653" s="264">
        <v>40206</v>
      </c>
      <c r="B653" s="264">
        <v>40206</v>
      </c>
      <c r="C653" s="267">
        <v>279</v>
      </c>
      <c r="D653" s="267">
        <v>250</v>
      </c>
      <c r="E653" s="392">
        <v>179</v>
      </c>
      <c r="Z653" s="322">
        <v>40234</v>
      </c>
      <c r="AA653" s="324">
        <v>274</v>
      </c>
      <c r="AB653" s="323">
        <v>252.5</v>
      </c>
    </row>
    <row r="654" spans="1:28">
      <c r="A654" s="264">
        <v>40213</v>
      </c>
      <c r="B654" s="264">
        <v>40213</v>
      </c>
      <c r="C654" s="267">
        <v>287</v>
      </c>
      <c r="D654" s="267">
        <v>250</v>
      </c>
      <c r="E654" s="392">
        <v>187.5</v>
      </c>
      <c r="Z654" s="322">
        <v>40241</v>
      </c>
      <c r="AA654" s="324">
        <v>271</v>
      </c>
      <c r="AB654" s="323">
        <v>229</v>
      </c>
    </row>
    <row r="655" spans="1:28">
      <c r="A655" s="264">
        <v>40220</v>
      </c>
      <c r="B655" s="264">
        <v>40220</v>
      </c>
      <c r="C655" s="267">
        <v>287</v>
      </c>
      <c r="D655" s="267">
        <v>254</v>
      </c>
      <c r="E655" s="392">
        <v>177.5</v>
      </c>
      <c r="Z655" s="322">
        <v>40248</v>
      </c>
      <c r="AA655" s="324">
        <v>273.5</v>
      </c>
      <c r="AB655" s="323">
        <v>227.5</v>
      </c>
    </row>
    <row r="656" spans="1:28">
      <c r="A656" s="264">
        <v>40227</v>
      </c>
      <c r="B656" s="264">
        <v>40227</v>
      </c>
      <c r="C656" s="267">
        <v>280</v>
      </c>
      <c r="D656" s="267">
        <v>258.5</v>
      </c>
      <c r="E656" s="392">
        <v>177.5</v>
      </c>
      <c r="Z656" s="322">
        <v>40255</v>
      </c>
      <c r="AA656" s="324">
        <v>273.5</v>
      </c>
      <c r="AB656" s="323">
        <v>220</v>
      </c>
    </row>
    <row r="657" spans="1:28">
      <c r="A657" s="264">
        <v>40234</v>
      </c>
      <c r="B657" s="264">
        <v>40234</v>
      </c>
      <c r="C657" s="267">
        <v>274</v>
      </c>
      <c r="D657" s="267">
        <v>258.5</v>
      </c>
      <c r="E657" s="392">
        <v>187.5</v>
      </c>
      <c r="Z657" s="322">
        <v>40262</v>
      </c>
      <c r="AA657" s="324">
        <v>268.5</v>
      </c>
      <c r="AB657" s="323">
        <v>210</v>
      </c>
    </row>
    <row r="658" spans="1:28">
      <c r="A658" s="264">
        <v>40241</v>
      </c>
      <c r="B658" s="264">
        <v>40241</v>
      </c>
      <c r="C658" s="267">
        <v>271</v>
      </c>
      <c r="D658" s="267">
        <v>252.5</v>
      </c>
      <c r="E658" s="392">
        <v>197.5</v>
      </c>
      <c r="Z658" s="322">
        <v>40269</v>
      </c>
      <c r="AA658" s="324">
        <v>261.5</v>
      </c>
      <c r="AB658" s="323">
        <v>203</v>
      </c>
    </row>
    <row r="659" spans="1:28">
      <c r="A659" s="264">
        <v>40248</v>
      </c>
      <c r="B659" s="264">
        <v>40248</v>
      </c>
      <c r="C659" s="267">
        <v>273.5</v>
      </c>
      <c r="D659" s="267">
        <v>229</v>
      </c>
      <c r="E659" s="392">
        <v>197.5</v>
      </c>
      <c r="Z659" s="322">
        <v>40276</v>
      </c>
      <c r="AA659" s="324">
        <v>251.5</v>
      </c>
      <c r="AB659" s="323">
        <v>201.5</v>
      </c>
    </row>
    <row r="660" spans="1:28">
      <c r="A660" s="264">
        <v>40255</v>
      </c>
      <c r="B660" s="264">
        <v>40255</v>
      </c>
      <c r="C660" s="267">
        <v>273.5</v>
      </c>
      <c r="D660" s="267">
        <v>227.5</v>
      </c>
      <c r="E660" s="392">
        <v>197.5</v>
      </c>
      <c r="Z660" s="322">
        <v>40283</v>
      </c>
      <c r="AA660" s="324">
        <v>244</v>
      </c>
      <c r="AB660" s="323">
        <v>200</v>
      </c>
    </row>
    <row r="661" spans="1:28">
      <c r="A661" s="264">
        <v>40262</v>
      </c>
      <c r="B661" s="264">
        <v>40262</v>
      </c>
      <c r="C661" s="267">
        <v>268.5</v>
      </c>
      <c r="D661" s="267">
        <v>220</v>
      </c>
      <c r="E661" s="392">
        <v>197.5</v>
      </c>
      <c r="Z661" s="322">
        <v>40290</v>
      </c>
      <c r="AA661" s="324">
        <v>242.5</v>
      </c>
      <c r="AB661" s="323">
        <v>180</v>
      </c>
    </row>
    <row r="662" spans="1:28">
      <c r="A662" s="264">
        <v>40269</v>
      </c>
      <c r="B662" s="264">
        <v>40269</v>
      </c>
      <c r="C662" s="267">
        <v>261.5</v>
      </c>
      <c r="D662" s="267">
        <v>210</v>
      </c>
      <c r="E662" s="392">
        <v>202.5</v>
      </c>
      <c r="Z662" s="322">
        <v>40297</v>
      </c>
      <c r="AA662" s="324">
        <v>235.5</v>
      </c>
      <c r="AB662" s="323">
        <v>175</v>
      </c>
    </row>
    <row r="663" spans="1:28">
      <c r="A663" s="264">
        <v>40276</v>
      </c>
      <c r="B663" s="264">
        <v>40276</v>
      </c>
      <c r="C663" s="267">
        <v>251.5</v>
      </c>
      <c r="D663" s="267">
        <v>203</v>
      </c>
      <c r="E663" s="392">
        <v>202.5</v>
      </c>
      <c r="Z663" s="322">
        <v>40304</v>
      </c>
      <c r="AA663" s="324">
        <v>232</v>
      </c>
      <c r="AB663" s="323">
        <v>167.5</v>
      </c>
    </row>
    <row r="664" spans="1:28">
      <c r="A664" s="264">
        <v>40283</v>
      </c>
      <c r="B664" s="264">
        <v>40283</v>
      </c>
      <c r="C664" s="267">
        <v>244</v>
      </c>
      <c r="D664" s="267">
        <v>201.5</v>
      </c>
      <c r="E664" s="392">
        <v>202.5</v>
      </c>
      <c r="Z664" s="322">
        <v>40311</v>
      </c>
      <c r="AA664" s="324">
        <v>231.5</v>
      </c>
      <c r="AB664" s="323">
        <v>162.5</v>
      </c>
    </row>
    <row r="665" spans="1:28">
      <c r="A665" s="264">
        <v>40290</v>
      </c>
      <c r="B665" s="264">
        <v>40290</v>
      </c>
      <c r="C665" s="267">
        <v>242.5</v>
      </c>
      <c r="D665" s="267">
        <v>200</v>
      </c>
      <c r="E665" s="392">
        <v>197.5</v>
      </c>
      <c r="Z665" s="322">
        <v>40318</v>
      </c>
      <c r="AA665" s="324">
        <v>222.5</v>
      </c>
      <c r="AB665" s="323">
        <v>162.5</v>
      </c>
    </row>
    <row r="666" spans="1:28">
      <c r="A666" s="264">
        <v>40297</v>
      </c>
      <c r="B666" s="264">
        <v>40297</v>
      </c>
      <c r="C666" s="267">
        <v>235.5</v>
      </c>
      <c r="D666" s="267">
        <v>180</v>
      </c>
      <c r="E666" s="392">
        <v>187.5</v>
      </c>
      <c r="Z666" s="322">
        <v>40325</v>
      </c>
      <c r="AA666" s="324">
        <v>218.5</v>
      </c>
      <c r="AB666" s="323">
        <v>175.5</v>
      </c>
    </row>
    <row r="667" spans="1:28">
      <c r="A667" s="264">
        <v>40304</v>
      </c>
      <c r="B667" s="264">
        <v>40304</v>
      </c>
      <c r="C667" s="267">
        <v>232</v>
      </c>
      <c r="D667" s="267">
        <v>175</v>
      </c>
      <c r="E667" s="392">
        <v>187.5</v>
      </c>
      <c r="Z667" s="322">
        <v>40339</v>
      </c>
      <c r="AA667" s="324">
        <v>219.5</v>
      </c>
      <c r="AB667" s="323">
        <v>178.5</v>
      </c>
    </row>
    <row r="668" spans="1:28">
      <c r="A668" s="264">
        <v>40311</v>
      </c>
      <c r="B668" s="264">
        <v>40311</v>
      </c>
      <c r="C668" s="267">
        <v>231.5</v>
      </c>
      <c r="D668" s="267">
        <v>167.5</v>
      </c>
      <c r="E668" s="392">
        <v>187.5</v>
      </c>
      <c r="Z668" s="322">
        <v>40346</v>
      </c>
      <c r="AA668" s="324">
        <v>224</v>
      </c>
      <c r="AB668" s="323">
        <v>187.5</v>
      </c>
    </row>
    <row r="669" spans="1:28">
      <c r="A669" s="264">
        <v>40318</v>
      </c>
      <c r="B669" s="264">
        <v>40318</v>
      </c>
      <c r="C669" s="267">
        <v>222.5</v>
      </c>
      <c r="D669" s="267">
        <v>162.5</v>
      </c>
      <c r="E669" s="392">
        <v>182.5</v>
      </c>
      <c r="Z669" s="322">
        <v>40353</v>
      </c>
      <c r="AA669" s="324">
        <v>233.5</v>
      </c>
      <c r="AB669" s="323">
        <v>205</v>
      </c>
    </row>
    <row r="670" spans="1:28">
      <c r="A670" s="264">
        <v>40325</v>
      </c>
      <c r="B670" s="264">
        <v>40325</v>
      </c>
      <c r="C670" s="267">
        <v>218.5</v>
      </c>
      <c r="D670" s="267">
        <v>162.5</v>
      </c>
      <c r="E670" s="392">
        <v>177.5</v>
      </c>
      <c r="Z670" s="322">
        <v>40360</v>
      </c>
      <c r="AA670" s="324">
        <v>234.5</v>
      </c>
      <c r="AB670" s="323">
        <v>205</v>
      </c>
    </row>
    <row r="671" spans="1:28">
      <c r="A671" s="264">
        <v>40339</v>
      </c>
      <c r="B671" s="264">
        <v>40339</v>
      </c>
      <c r="C671" s="267">
        <v>219.5</v>
      </c>
      <c r="D671" s="267">
        <v>175.5</v>
      </c>
      <c r="E671" s="392">
        <v>172.5</v>
      </c>
      <c r="Z671" s="322">
        <v>40367</v>
      </c>
      <c r="AA671" s="324">
        <v>241</v>
      </c>
      <c r="AB671" s="323">
        <v>210</v>
      </c>
    </row>
    <row r="672" spans="1:28">
      <c r="A672" s="264">
        <v>40346</v>
      </c>
      <c r="B672" s="264">
        <v>40346</v>
      </c>
      <c r="C672" s="267">
        <v>224</v>
      </c>
      <c r="D672" s="267">
        <v>178.5</v>
      </c>
      <c r="E672" s="392">
        <v>172.5</v>
      </c>
      <c r="Z672" s="322">
        <v>40374</v>
      </c>
      <c r="AA672" s="324">
        <v>247</v>
      </c>
      <c r="AB672" s="323">
        <v>212.5</v>
      </c>
    </row>
    <row r="673" spans="1:28">
      <c r="A673" s="264">
        <v>40353</v>
      </c>
      <c r="B673" s="264">
        <v>40353</v>
      </c>
      <c r="C673" s="267">
        <v>233.5</v>
      </c>
      <c r="D673" s="267">
        <v>187.5</v>
      </c>
      <c r="E673" s="392">
        <v>152.5</v>
      </c>
      <c r="Z673" s="322">
        <v>40381</v>
      </c>
      <c r="AA673" s="324">
        <v>244.5</v>
      </c>
      <c r="AB673" s="323">
        <v>210</v>
      </c>
    </row>
    <row r="674" spans="1:28">
      <c r="A674" s="264">
        <v>40360</v>
      </c>
      <c r="B674" s="264">
        <v>40360</v>
      </c>
      <c r="C674" s="267">
        <v>234.5</v>
      </c>
      <c r="D674" s="267">
        <v>205</v>
      </c>
      <c r="E674" s="392">
        <v>152.5</v>
      </c>
      <c r="Z674" s="322">
        <v>40388</v>
      </c>
      <c r="AA674" s="324">
        <v>242.5</v>
      </c>
      <c r="AB674" s="323">
        <v>207.5</v>
      </c>
    </row>
    <row r="675" spans="1:28">
      <c r="A675" s="264">
        <v>40367</v>
      </c>
      <c r="B675" s="264">
        <v>40367</v>
      </c>
      <c r="C675" s="267">
        <v>241</v>
      </c>
      <c r="D675" s="267">
        <v>205</v>
      </c>
      <c r="E675" s="392">
        <v>152.5</v>
      </c>
      <c r="Z675" s="322">
        <v>40395</v>
      </c>
      <c r="AA675" s="324">
        <v>248</v>
      </c>
      <c r="AB675" s="323">
        <v>212.5</v>
      </c>
    </row>
    <row r="676" spans="1:28">
      <c r="A676" s="264">
        <v>40374</v>
      </c>
      <c r="B676" s="264">
        <v>40374</v>
      </c>
      <c r="C676" s="267">
        <v>247</v>
      </c>
      <c r="D676" s="267">
        <v>210</v>
      </c>
      <c r="E676" s="392">
        <v>152.5</v>
      </c>
      <c r="Z676" s="322">
        <v>40402</v>
      </c>
      <c r="AA676" s="324">
        <v>265</v>
      </c>
      <c r="AB676" s="323">
        <v>215</v>
      </c>
    </row>
    <row r="677" spans="1:28">
      <c r="A677" s="264">
        <v>40381</v>
      </c>
      <c r="B677" s="264">
        <v>40381</v>
      </c>
      <c r="C677" s="267">
        <v>244.5</v>
      </c>
      <c r="D677" s="267">
        <v>212.5</v>
      </c>
      <c r="E677" s="392">
        <v>152.5</v>
      </c>
      <c r="Z677" s="322">
        <v>40409</v>
      </c>
      <c r="AA677" s="324">
        <v>280</v>
      </c>
      <c r="AB677" s="323">
        <v>216</v>
      </c>
    </row>
    <row r="678" spans="1:28">
      <c r="A678" s="264">
        <v>40388</v>
      </c>
      <c r="B678" s="264">
        <v>40388</v>
      </c>
      <c r="C678" s="267">
        <v>242.5</v>
      </c>
      <c r="D678" s="267">
        <v>210</v>
      </c>
      <c r="E678" s="392">
        <v>152.5</v>
      </c>
      <c r="Z678" s="322">
        <v>40416</v>
      </c>
      <c r="AA678" s="324">
        <v>273.5</v>
      </c>
      <c r="AB678" s="323">
        <v>217.5</v>
      </c>
    </row>
    <row r="679" spans="1:28">
      <c r="A679" s="264">
        <v>40395</v>
      </c>
      <c r="B679" s="264">
        <v>40395</v>
      </c>
      <c r="C679" s="267">
        <v>248</v>
      </c>
      <c r="D679" s="267">
        <v>207.5</v>
      </c>
      <c r="E679" s="392">
        <v>147.5</v>
      </c>
      <c r="Z679" s="322">
        <v>40423</v>
      </c>
      <c r="AA679" s="324">
        <v>273.5</v>
      </c>
      <c r="AB679" s="323">
        <v>227.5</v>
      </c>
    </row>
    <row r="680" spans="1:28">
      <c r="A680" s="264">
        <v>40402</v>
      </c>
      <c r="B680" s="264">
        <v>40402</v>
      </c>
      <c r="C680" s="267">
        <v>265</v>
      </c>
      <c r="D680" s="267">
        <v>212.5</v>
      </c>
      <c r="E680" s="392">
        <v>147.5</v>
      </c>
      <c r="Z680" s="322">
        <v>40430</v>
      </c>
      <c r="AA680" s="324">
        <v>289.5</v>
      </c>
      <c r="AB680" s="323">
        <v>250</v>
      </c>
    </row>
    <row r="681" spans="1:28">
      <c r="A681" s="264">
        <v>40409</v>
      </c>
      <c r="B681" s="264">
        <v>40409</v>
      </c>
      <c r="C681" s="267">
        <v>280</v>
      </c>
      <c r="D681" s="267">
        <v>215</v>
      </c>
      <c r="E681" s="392">
        <v>147.5</v>
      </c>
      <c r="Z681" s="322">
        <v>40437</v>
      </c>
      <c r="AA681" s="324">
        <v>315</v>
      </c>
      <c r="AB681" s="323">
        <v>252.5</v>
      </c>
    </row>
    <row r="682" spans="1:28">
      <c r="A682" s="264">
        <v>40416</v>
      </c>
      <c r="B682" s="264">
        <v>40416</v>
      </c>
      <c r="C682" s="267">
        <v>273.5</v>
      </c>
      <c r="D682" s="267">
        <v>216</v>
      </c>
      <c r="E682" s="392">
        <v>157.5</v>
      </c>
      <c r="Z682" s="322">
        <v>40444</v>
      </c>
      <c r="AA682" s="324">
        <v>337.5</v>
      </c>
      <c r="AB682" s="323">
        <v>252.5</v>
      </c>
    </row>
    <row r="683" spans="1:28">
      <c r="A683" s="264">
        <v>40423</v>
      </c>
      <c r="B683" s="264">
        <v>40423</v>
      </c>
      <c r="C683" s="267">
        <v>273.5</v>
      </c>
      <c r="D683" s="267">
        <v>217.5</v>
      </c>
      <c r="E683" s="392">
        <v>162.5</v>
      </c>
      <c r="Z683" s="322">
        <v>40451</v>
      </c>
      <c r="AA683" s="324">
        <v>327.5</v>
      </c>
      <c r="AB683" s="323">
        <v>252.5</v>
      </c>
    </row>
    <row r="684" spans="1:28">
      <c r="A684" s="264">
        <v>40430</v>
      </c>
      <c r="B684" s="264">
        <v>40430</v>
      </c>
      <c r="C684" s="267">
        <v>289.5</v>
      </c>
      <c r="D684" s="267">
        <v>227.5</v>
      </c>
      <c r="E684" s="392">
        <v>179.5</v>
      </c>
      <c r="Z684" s="322">
        <v>40458</v>
      </c>
      <c r="AA684" s="324">
        <v>328.5</v>
      </c>
      <c r="AB684" s="323">
        <v>257.5</v>
      </c>
    </row>
    <row r="685" spans="1:28">
      <c r="A685" s="264">
        <v>40437</v>
      </c>
      <c r="B685" s="264">
        <v>40437</v>
      </c>
      <c r="C685" s="267">
        <v>315</v>
      </c>
      <c r="D685" s="267">
        <v>250</v>
      </c>
      <c r="E685" s="392">
        <v>177.5</v>
      </c>
      <c r="Z685" s="322">
        <v>40465</v>
      </c>
      <c r="AA685" s="324">
        <v>324</v>
      </c>
      <c r="AB685" s="323">
        <v>250.5</v>
      </c>
    </row>
    <row r="686" spans="1:28">
      <c r="A686" s="264">
        <v>40444</v>
      </c>
      <c r="B686" s="264">
        <v>40444</v>
      </c>
      <c r="C686" s="267">
        <v>337.5</v>
      </c>
      <c r="D686" s="267">
        <v>252.5</v>
      </c>
      <c r="E686" s="392">
        <v>202.5</v>
      </c>
      <c r="Z686" s="322">
        <v>40472</v>
      </c>
      <c r="AA686" s="324">
        <v>323.5</v>
      </c>
      <c r="AB686" s="323">
        <v>251.5</v>
      </c>
    </row>
    <row r="687" spans="1:28">
      <c r="A687" s="264">
        <v>40451</v>
      </c>
      <c r="B687" s="264">
        <v>40451</v>
      </c>
      <c r="C687" s="267">
        <v>327.5</v>
      </c>
      <c r="D687" s="267">
        <v>252.5</v>
      </c>
      <c r="E687" s="392">
        <v>202.5</v>
      </c>
      <c r="Z687" s="322">
        <v>40479</v>
      </c>
      <c r="AA687" s="324">
        <v>336.5</v>
      </c>
      <c r="AB687" s="323">
        <v>257.5</v>
      </c>
    </row>
    <row r="688" spans="1:28">
      <c r="A688" s="264">
        <v>40458</v>
      </c>
      <c r="B688" s="264">
        <v>40458</v>
      </c>
      <c r="C688" s="267">
        <v>328.5</v>
      </c>
      <c r="D688" s="267">
        <v>252.5</v>
      </c>
      <c r="E688" s="392">
        <v>222.5</v>
      </c>
      <c r="Z688" s="322">
        <v>40486</v>
      </c>
      <c r="AA688" s="324">
        <v>338</v>
      </c>
      <c r="AB688" s="323">
        <v>271</v>
      </c>
    </row>
    <row r="689" spans="1:28">
      <c r="A689" s="264">
        <v>40465</v>
      </c>
      <c r="B689" s="264">
        <v>40465</v>
      </c>
      <c r="C689" s="267">
        <v>324</v>
      </c>
      <c r="D689" s="267">
        <v>257.5</v>
      </c>
      <c r="E689" s="392">
        <v>222.5</v>
      </c>
      <c r="Z689" s="322">
        <v>40493</v>
      </c>
      <c r="AA689" s="324">
        <v>347.5</v>
      </c>
      <c r="AB689" s="323">
        <v>274</v>
      </c>
    </row>
    <row r="690" spans="1:28">
      <c r="A690" s="264">
        <v>40472</v>
      </c>
      <c r="B690" s="264">
        <v>40472</v>
      </c>
      <c r="C690" s="267">
        <v>323.5</v>
      </c>
      <c r="D690" s="267">
        <v>250.5</v>
      </c>
      <c r="E690" s="392">
        <v>228.5</v>
      </c>
      <c r="Z690" s="322">
        <v>40500</v>
      </c>
      <c r="AA690" s="324">
        <v>363</v>
      </c>
      <c r="AB690" s="323">
        <v>298.5</v>
      </c>
    </row>
    <row r="691" spans="1:28">
      <c r="A691" s="264">
        <v>40479</v>
      </c>
      <c r="B691" s="264">
        <v>40479</v>
      </c>
      <c r="C691" s="267">
        <v>336.5</v>
      </c>
      <c r="D691" s="267">
        <v>251.5</v>
      </c>
      <c r="E691" s="392">
        <v>228.5</v>
      </c>
      <c r="Z691" s="322">
        <v>40507</v>
      </c>
      <c r="AA691" s="324">
        <v>372.5</v>
      </c>
      <c r="AB691" s="323">
        <v>302.5</v>
      </c>
    </row>
    <row r="692" spans="1:28">
      <c r="A692" s="264">
        <v>40486</v>
      </c>
      <c r="B692" s="264">
        <v>40486</v>
      </c>
      <c r="C692" s="267">
        <v>338</v>
      </c>
      <c r="D692" s="267">
        <v>257.5</v>
      </c>
      <c r="E692" s="392">
        <v>228.5</v>
      </c>
      <c r="Z692" s="322">
        <v>40514</v>
      </c>
      <c r="AA692" s="324">
        <v>368</v>
      </c>
      <c r="AB692" s="323">
        <v>305</v>
      </c>
    </row>
    <row r="693" spans="1:28">
      <c r="A693" s="264">
        <v>40493</v>
      </c>
      <c r="B693" s="264">
        <v>40493</v>
      </c>
      <c r="C693" s="267">
        <v>347.5</v>
      </c>
      <c r="D693" s="267">
        <v>271</v>
      </c>
      <c r="E693" s="392">
        <v>265</v>
      </c>
      <c r="Z693" s="322">
        <v>40521</v>
      </c>
      <c r="AA693" s="324">
        <v>362.5</v>
      </c>
      <c r="AB693" s="323">
        <v>305</v>
      </c>
    </row>
    <row r="694" spans="1:28">
      <c r="A694" s="264">
        <v>40500</v>
      </c>
      <c r="B694" s="264">
        <v>40500</v>
      </c>
      <c r="C694" s="267">
        <v>363</v>
      </c>
      <c r="D694" s="267">
        <v>274</v>
      </c>
      <c r="E694" s="392">
        <v>265</v>
      </c>
      <c r="Z694" s="322">
        <v>40528</v>
      </c>
      <c r="AA694" s="324">
        <v>357.5</v>
      </c>
      <c r="AB694" s="323">
        <v>300</v>
      </c>
    </row>
    <row r="695" spans="1:28">
      <c r="A695" s="264">
        <v>40507</v>
      </c>
      <c r="B695" s="264">
        <v>40507</v>
      </c>
      <c r="C695" s="267">
        <v>372.5</v>
      </c>
      <c r="D695" s="267">
        <v>298.5</v>
      </c>
      <c r="E695" s="392">
        <v>265</v>
      </c>
      <c r="Z695" s="322">
        <v>40535</v>
      </c>
      <c r="AA695" s="324">
        <v>362.5</v>
      </c>
      <c r="AB695" s="323">
        <v>297.5</v>
      </c>
    </row>
    <row r="696" spans="1:28">
      <c r="A696" s="264">
        <v>40514</v>
      </c>
      <c r="B696" s="264">
        <v>40514</v>
      </c>
      <c r="C696" s="267">
        <v>368</v>
      </c>
      <c r="D696" s="267">
        <v>302.5</v>
      </c>
      <c r="E696" s="392">
        <v>272.5</v>
      </c>
      <c r="Z696" s="322">
        <v>40549</v>
      </c>
      <c r="AA696" s="324">
        <v>363.5</v>
      </c>
      <c r="AB696" s="323">
        <v>300</v>
      </c>
    </row>
    <row r="697" spans="1:28">
      <c r="A697" s="264">
        <v>40521</v>
      </c>
      <c r="B697" s="264">
        <v>40521</v>
      </c>
      <c r="C697" s="267">
        <v>362.5</v>
      </c>
      <c r="D697" s="267">
        <v>305</v>
      </c>
      <c r="E697" s="392">
        <v>257.5</v>
      </c>
      <c r="Z697" s="322">
        <v>40556</v>
      </c>
      <c r="AA697" s="324">
        <v>360</v>
      </c>
      <c r="AB697" s="323">
        <v>297.5</v>
      </c>
    </row>
    <row r="698" spans="1:28">
      <c r="A698" s="264">
        <v>40528</v>
      </c>
      <c r="B698" s="264">
        <v>40528</v>
      </c>
      <c r="C698" s="267">
        <v>357.5</v>
      </c>
      <c r="D698" s="267">
        <v>305</v>
      </c>
      <c r="E698" s="392">
        <v>260</v>
      </c>
      <c r="Z698" s="322">
        <v>40563</v>
      </c>
      <c r="AA698" s="324">
        <v>366</v>
      </c>
      <c r="AB698" s="323">
        <v>297.5</v>
      </c>
    </row>
    <row r="699" spans="1:28">
      <c r="A699" s="264">
        <v>40535</v>
      </c>
      <c r="B699" s="264">
        <v>40535</v>
      </c>
      <c r="C699" s="267">
        <v>362.5</v>
      </c>
      <c r="D699" s="267">
        <v>300</v>
      </c>
      <c r="E699" s="392">
        <v>260</v>
      </c>
      <c r="Z699" s="322">
        <v>40570</v>
      </c>
      <c r="AA699" s="324">
        <v>363.5</v>
      </c>
      <c r="AB699" s="323">
        <v>303.5</v>
      </c>
    </row>
    <row r="700" spans="1:28">
      <c r="A700" s="264">
        <v>40549</v>
      </c>
      <c r="B700" s="264">
        <v>40549</v>
      </c>
      <c r="C700" s="267">
        <v>363.5</v>
      </c>
      <c r="D700" s="267">
        <v>297.5</v>
      </c>
      <c r="E700" s="392">
        <v>260</v>
      </c>
      <c r="Z700" s="322">
        <v>40577</v>
      </c>
      <c r="AA700" s="324">
        <v>359</v>
      </c>
      <c r="AB700" s="323">
        <v>302.5</v>
      </c>
    </row>
    <row r="701" spans="1:28">
      <c r="A701" s="264">
        <v>40556</v>
      </c>
      <c r="B701" s="264">
        <v>40556</v>
      </c>
      <c r="C701" s="267">
        <v>360</v>
      </c>
      <c r="D701" s="267">
        <v>300</v>
      </c>
      <c r="E701" s="392">
        <v>275</v>
      </c>
      <c r="Z701" s="322">
        <v>40584</v>
      </c>
      <c r="AA701" s="324">
        <v>359</v>
      </c>
      <c r="AB701" s="323">
        <v>298.5</v>
      </c>
    </row>
    <row r="702" spans="1:28">
      <c r="A702" s="264">
        <v>40563</v>
      </c>
      <c r="B702" s="264">
        <v>40563</v>
      </c>
      <c r="C702" s="267">
        <v>366</v>
      </c>
      <c r="D702" s="267">
        <v>297.5</v>
      </c>
      <c r="E702" s="392">
        <v>275</v>
      </c>
      <c r="Z702" s="322">
        <v>40591</v>
      </c>
      <c r="AA702" s="324">
        <v>358</v>
      </c>
      <c r="AB702" s="323">
        <v>290</v>
      </c>
    </row>
    <row r="703" spans="1:28">
      <c r="A703" s="264">
        <v>40570</v>
      </c>
      <c r="B703" s="264">
        <v>40570</v>
      </c>
      <c r="C703" s="267">
        <v>363.5</v>
      </c>
      <c r="D703" s="267">
        <v>297.5</v>
      </c>
      <c r="E703" s="392">
        <v>275</v>
      </c>
      <c r="Z703" s="322">
        <v>40598</v>
      </c>
      <c r="AA703" s="324">
        <v>351</v>
      </c>
      <c r="AB703" s="323">
        <v>290</v>
      </c>
    </row>
    <row r="704" spans="1:28">
      <c r="A704" s="264">
        <v>40577</v>
      </c>
      <c r="B704" s="264">
        <v>40577</v>
      </c>
      <c r="C704" s="267">
        <v>359</v>
      </c>
      <c r="D704" s="267">
        <v>303.5</v>
      </c>
      <c r="E704" s="392">
        <v>267.5</v>
      </c>
      <c r="Z704" s="322">
        <v>40605</v>
      </c>
      <c r="AA704" s="324">
        <v>335</v>
      </c>
      <c r="AB704" s="323">
        <v>295</v>
      </c>
    </row>
    <row r="705" spans="1:28">
      <c r="A705" s="264">
        <v>40584</v>
      </c>
      <c r="B705" s="264">
        <v>40584</v>
      </c>
      <c r="C705" s="267">
        <v>359</v>
      </c>
      <c r="D705" s="267">
        <v>302.5</v>
      </c>
      <c r="E705" s="392">
        <v>262.5</v>
      </c>
      <c r="Z705" s="322">
        <v>40612</v>
      </c>
      <c r="AA705" s="324">
        <v>325</v>
      </c>
      <c r="AB705" s="323">
        <v>290</v>
      </c>
    </row>
    <row r="706" spans="1:28">
      <c r="A706" s="264">
        <v>40591</v>
      </c>
      <c r="B706" s="264">
        <v>40591</v>
      </c>
      <c r="C706" s="267">
        <v>358</v>
      </c>
      <c r="D706" s="267">
        <v>298.5</v>
      </c>
      <c r="E706" s="392">
        <v>262.5</v>
      </c>
      <c r="Z706" s="322">
        <v>40619</v>
      </c>
      <c r="AA706" s="324">
        <v>312.5</v>
      </c>
      <c r="AB706" s="323">
        <v>285</v>
      </c>
    </row>
    <row r="707" spans="1:28">
      <c r="A707" s="264">
        <v>40598</v>
      </c>
      <c r="B707" s="264">
        <v>40598</v>
      </c>
      <c r="C707" s="267">
        <v>351</v>
      </c>
      <c r="D707" s="267">
        <v>290</v>
      </c>
      <c r="E707" s="392">
        <v>262.5</v>
      </c>
      <c r="Z707" s="322">
        <v>40626</v>
      </c>
      <c r="AA707" s="324">
        <v>310</v>
      </c>
      <c r="AB707" s="323">
        <v>280</v>
      </c>
    </row>
    <row r="708" spans="1:28">
      <c r="A708" s="264">
        <v>40605</v>
      </c>
      <c r="B708" s="264">
        <v>40605</v>
      </c>
      <c r="C708" s="267">
        <v>335</v>
      </c>
      <c r="D708" s="267">
        <v>290</v>
      </c>
      <c r="E708" s="392">
        <v>262.5</v>
      </c>
      <c r="Z708" s="322">
        <v>40633</v>
      </c>
      <c r="AA708" s="324">
        <v>302.5</v>
      </c>
      <c r="AB708" s="323">
        <v>280</v>
      </c>
    </row>
    <row r="709" spans="1:28">
      <c r="A709" s="264">
        <v>40612</v>
      </c>
      <c r="B709" s="264">
        <v>40612</v>
      </c>
      <c r="C709" s="267">
        <v>325</v>
      </c>
      <c r="D709" s="267">
        <v>295</v>
      </c>
      <c r="E709" s="392">
        <v>272.5</v>
      </c>
      <c r="Z709" s="322">
        <v>40640</v>
      </c>
      <c r="AA709" s="324">
        <v>311</v>
      </c>
      <c r="AB709" s="323">
        <v>270</v>
      </c>
    </row>
    <row r="710" spans="1:28">
      <c r="A710" s="264">
        <v>40619</v>
      </c>
      <c r="B710" s="264">
        <v>40619</v>
      </c>
      <c r="C710" s="267">
        <v>312.5</v>
      </c>
      <c r="D710" s="267">
        <v>290</v>
      </c>
      <c r="E710" s="392">
        <v>272.5</v>
      </c>
      <c r="Z710" s="322">
        <v>40647</v>
      </c>
      <c r="AA710" s="324">
        <v>333</v>
      </c>
      <c r="AB710" s="323">
        <v>261.5</v>
      </c>
    </row>
    <row r="711" spans="1:28">
      <c r="A711" s="264">
        <v>40626</v>
      </c>
      <c r="B711" s="264">
        <v>40626</v>
      </c>
      <c r="C711" s="267">
        <v>310</v>
      </c>
      <c r="D711" s="267">
        <v>285</v>
      </c>
      <c r="E711" s="392">
        <v>272.5</v>
      </c>
      <c r="Z711" s="322">
        <v>40654</v>
      </c>
      <c r="AA711" s="324">
        <v>342.5</v>
      </c>
      <c r="AB711" s="323">
        <v>265</v>
      </c>
    </row>
    <row r="712" spans="1:28">
      <c r="A712" s="264">
        <v>40633</v>
      </c>
      <c r="B712" s="264">
        <v>40633</v>
      </c>
      <c r="C712" s="267">
        <v>302.5</v>
      </c>
      <c r="D712" s="267">
        <v>280</v>
      </c>
      <c r="E712" s="392">
        <v>272.5</v>
      </c>
      <c r="Z712" s="322">
        <v>40661</v>
      </c>
      <c r="AA712" s="324">
        <v>347.5</v>
      </c>
      <c r="AB712" s="323">
        <v>277.5</v>
      </c>
    </row>
    <row r="713" spans="1:28">
      <c r="A713" s="264">
        <v>40640</v>
      </c>
      <c r="B713" s="264">
        <v>40640</v>
      </c>
      <c r="C713" s="267">
        <v>311</v>
      </c>
      <c r="D713" s="267">
        <v>280</v>
      </c>
      <c r="E713" s="392">
        <v>287.5</v>
      </c>
      <c r="Z713" s="322">
        <v>40668</v>
      </c>
      <c r="AA713" s="324">
        <v>365</v>
      </c>
      <c r="AB713" s="323">
        <v>285</v>
      </c>
    </row>
    <row r="714" spans="1:28">
      <c r="A714" s="264">
        <v>40647</v>
      </c>
      <c r="B714" s="264">
        <v>40647</v>
      </c>
      <c r="C714" s="267">
        <v>333</v>
      </c>
      <c r="D714" s="267">
        <v>270</v>
      </c>
      <c r="E714" s="392">
        <v>287.5</v>
      </c>
      <c r="Z714" s="322">
        <v>40675</v>
      </c>
      <c r="AA714" s="324">
        <v>370</v>
      </c>
      <c r="AB714" s="323">
        <v>295</v>
      </c>
    </row>
    <row r="715" spans="1:28">
      <c r="A715" s="264">
        <v>40654</v>
      </c>
      <c r="B715" s="264">
        <v>40654</v>
      </c>
      <c r="C715" s="267">
        <v>342.5</v>
      </c>
      <c r="D715" s="267">
        <v>261.5</v>
      </c>
      <c r="E715" s="392">
        <v>292.5</v>
      </c>
      <c r="Z715" s="322">
        <v>40682</v>
      </c>
      <c r="AA715" s="324">
        <v>404.5</v>
      </c>
      <c r="AB715" s="323">
        <v>320.5</v>
      </c>
    </row>
    <row r="716" spans="1:28">
      <c r="A716" s="264">
        <v>40661</v>
      </c>
      <c r="B716" s="264">
        <v>40661</v>
      </c>
      <c r="C716" s="267">
        <v>347.5</v>
      </c>
      <c r="D716" s="267">
        <v>265</v>
      </c>
      <c r="E716" s="392">
        <v>292.5</v>
      </c>
      <c r="Z716" s="322">
        <v>40689</v>
      </c>
      <c r="AA716" s="324">
        <v>412.5</v>
      </c>
      <c r="AB716" s="323">
        <v>330.5</v>
      </c>
    </row>
    <row r="717" spans="1:28">
      <c r="A717" s="264">
        <v>40668</v>
      </c>
      <c r="B717" s="264">
        <v>40668</v>
      </c>
      <c r="C717" s="267">
        <v>365</v>
      </c>
      <c r="D717" s="267">
        <v>277.5</v>
      </c>
      <c r="E717" s="392">
        <v>287.5</v>
      </c>
      <c r="Z717" s="322">
        <v>40696</v>
      </c>
      <c r="AA717" s="324">
        <v>426</v>
      </c>
      <c r="AB717" s="323">
        <v>342.5</v>
      </c>
    </row>
    <row r="718" spans="1:28">
      <c r="A718" s="264">
        <v>40675</v>
      </c>
      <c r="B718" s="264">
        <v>40675</v>
      </c>
      <c r="C718" s="267">
        <v>370</v>
      </c>
      <c r="D718" s="267">
        <v>285</v>
      </c>
      <c r="E718" s="392">
        <v>287.5</v>
      </c>
      <c r="Z718" s="322">
        <v>40703</v>
      </c>
      <c r="AA718" s="324">
        <v>461</v>
      </c>
      <c r="AB718" s="323">
        <v>360</v>
      </c>
    </row>
    <row r="719" spans="1:28">
      <c r="A719" s="264">
        <v>40682</v>
      </c>
      <c r="B719" s="264">
        <v>40682</v>
      </c>
      <c r="C719" s="267">
        <v>404.5</v>
      </c>
      <c r="D719" s="267">
        <v>295</v>
      </c>
      <c r="E719" s="392">
        <v>287.5</v>
      </c>
      <c r="Z719" s="322">
        <v>40710</v>
      </c>
      <c r="AA719" s="324">
        <v>485</v>
      </c>
      <c r="AB719" s="323">
        <v>365</v>
      </c>
    </row>
    <row r="720" spans="1:28">
      <c r="A720" s="264">
        <v>40689</v>
      </c>
      <c r="B720" s="264">
        <v>40689</v>
      </c>
      <c r="C720" s="267">
        <v>412.5</v>
      </c>
      <c r="D720" s="267">
        <v>320.5</v>
      </c>
      <c r="E720" s="392">
        <v>287.5</v>
      </c>
      <c r="Z720" s="322">
        <v>40717</v>
      </c>
      <c r="AA720" s="324">
        <v>507.5</v>
      </c>
      <c r="AB720" s="323">
        <v>377.5</v>
      </c>
    </row>
    <row r="721" spans="1:28">
      <c r="A721" s="264">
        <v>40696</v>
      </c>
      <c r="B721" s="264">
        <v>40696</v>
      </c>
      <c r="C721" s="267">
        <v>426</v>
      </c>
      <c r="D721" s="267">
        <v>330.5</v>
      </c>
      <c r="E721" s="392">
        <v>272.5</v>
      </c>
      <c r="Z721" s="322">
        <v>40724</v>
      </c>
      <c r="AA721" s="324">
        <v>495</v>
      </c>
      <c r="AB721" s="323">
        <v>345</v>
      </c>
    </row>
    <row r="722" spans="1:28">
      <c r="A722" s="264">
        <v>40703</v>
      </c>
      <c r="B722" s="264">
        <v>40703</v>
      </c>
      <c r="C722" s="267">
        <v>461</v>
      </c>
      <c r="D722" s="267">
        <v>342.5</v>
      </c>
      <c r="E722" s="392">
        <v>272.5</v>
      </c>
      <c r="Z722" s="322">
        <v>40731</v>
      </c>
      <c r="AA722" s="324">
        <v>465</v>
      </c>
      <c r="AB722" s="323">
        <v>300</v>
      </c>
    </row>
    <row r="723" spans="1:28">
      <c r="A723" s="264">
        <v>40710</v>
      </c>
      <c r="B723" s="264">
        <v>40710</v>
      </c>
      <c r="C723" s="267">
        <v>485</v>
      </c>
      <c r="D723" s="267">
        <v>360</v>
      </c>
      <c r="E723" s="392">
        <v>272.5</v>
      </c>
      <c r="Z723" s="322">
        <v>40738</v>
      </c>
      <c r="AA723" s="324">
        <v>445</v>
      </c>
      <c r="AB723" s="323">
        <v>315</v>
      </c>
    </row>
    <row r="724" spans="1:28">
      <c r="A724" s="264">
        <v>40717</v>
      </c>
      <c r="B724" s="264">
        <v>40717</v>
      </c>
      <c r="C724" s="267">
        <v>507.5</v>
      </c>
      <c r="D724" s="267">
        <v>365</v>
      </c>
      <c r="E724" s="392">
        <v>272.5</v>
      </c>
      <c r="Z724" s="322">
        <v>40745</v>
      </c>
      <c r="AA724" s="324">
        <v>465</v>
      </c>
      <c r="AB724" s="323">
        <v>324.5</v>
      </c>
    </row>
    <row r="725" spans="1:28">
      <c r="A725" s="264">
        <v>40724</v>
      </c>
      <c r="B725" s="264">
        <v>40724</v>
      </c>
      <c r="C725" s="267">
        <v>495</v>
      </c>
      <c r="D725" s="267">
        <v>377.5</v>
      </c>
      <c r="E725" s="392">
        <v>287.5</v>
      </c>
      <c r="Z725" s="322">
        <v>40752</v>
      </c>
      <c r="AA725" s="324">
        <v>465</v>
      </c>
      <c r="AB725" s="323">
        <v>330</v>
      </c>
    </row>
    <row r="726" spans="1:28">
      <c r="A726" s="264">
        <v>40731</v>
      </c>
      <c r="B726" s="264">
        <v>40731</v>
      </c>
      <c r="C726" s="267">
        <v>465</v>
      </c>
      <c r="D726" s="267">
        <v>345</v>
      </c>
      <c r="E726" s="392">
        <v>287.5</v>
      </c>
      <c r="Z726" s="322">
        <v>40759</v>
      </c>
      <c r="AA726" s="324">
        <v>475</v>
      </c>
      <c r="AB726" s="323">
        <v>320</v>
      </c>
    </row>
    <row r="727" spans="1:28">
      <c r="A727" s="264">
        <v>40738</v>
      </c>
      <c r="B727" s="264">
        <v>40738</v>
      </c>
      <c r="C727" s="267">
        <v>445</v>
      </c>
      <c r="D727" s="267">
        <v>300</v>
      </c>
      <c r="E727" s="392">
        <v>282.5</v>
      </c>
      <c r="Z727" s="322">
        <v>40766</v>
      </c>
      <c r="AA727" s="324">
        <v>465</v>
      </c>
      <c r="AB727" s="323">
        <v>292.5</v>
      </c>
    </row>
    <row r="728" spans="1:28">
      <c r="A728" s="264">
        <v>40745</v>
      </c>
      <c r="B728" s="264">
        <v>40745</v>
      </c>
      <c r="C728" s="267">
        <v>465</v>
      </c>
      <c r="D728" s="267">
        <v>315</v>
      </c>
      <c r="E728" s="392">
        <v>312.5</v>
      </c>
      <c r="Z728" s="322">
        <v>40773</v>
      </c>
      <c r="AA728" s="324">
        <v>469.5</v>
      </c>
      <c r="AB728" s="323">
        <v>305</v>
      </c>
    </row>
    <row r="729" spans="1:28">
      <c r="A729" s="264">
        <v>40752</v>
      </c>
      <c r="B729" s="264">
        <v>40752</v>
      </c>
      <c r="C729" s="267">
        <v>465</v>
      </c>
      <c r="D729" s="267">
        <v>324.5</v>
      </c>
      <c r="E729" s="392">
        <v>307.5</v>
      </c>
      <c r="Z729" s="322">
        <v>40780</v>
      </c>
      <c r="AA729" s="324">
        <v>475</v>
      </c>
      <c r="AB729" s="323">
        <v>317.5</v>
      </c>
    </row>
    <row r="730" spans="1:28">
      <c r="A730" s="264">
        <v>40759</v>
      </c>
      <c r="B730" s="264">
        <v>40759</v>
      </c>
      <c r="C730" s="267">
        <v>475</v>
      </c>
      <c r="D730" s="267">
        <v>330</v>
      </c>
      <c r="E730" s="392">
        <v>307.5</v>
      </c>
      <c r="Z730" s="322">
        <v>40787</v>
      </c>
      <c r="AA730" s="324">
        <v>486.5</v>
      </c>
      <c r="AB730" s="323">
        <v>315</v>
      </c>
    </row>
    <row r="731" spans="1:28">
      <c r="A731" s="264">
        <v>40766</v>
      </c>
      <c r="B731" s="264">
        <v>40766</v>
      </c>
      <c r="C731" s="267">
        <v>465</v>
      </c>
      <c r="D731" s="267">
        <v>320</v>
      </c>
      <c r="E731" s="392">
        <v>350</v>
      </c>
      <c r="Z731" s="322">
        <v>40794</v>
      </c>
      <c r="AA731" s="324">
        <v>492.5</v>
      </c>
      <c r="AB731" s="323">
        <v>327.5</v>
      </c>
    </row>
    <row r="732" spans="1:28">
      <c r="A732" s="264">
        <v>40773</v>
      </c>
      <c r="B732" s="264">
        <v>40773</v>
      </c>
      <c r="C732" s="267">
        <v>469.5</v>
      </c>
      <c r="D732" s="267">
        <v>292.5</v>
      </c>
      <c r="E732" s="392">
        <v>350</v>
      </c>
      <c r="Z732" s="322">
        <v>40801</v>
      </c>
      <c r="AA732" s="324">
        <v>502</v>
      </c>
      <c r="AB732" s="323">
        <v>330</v>
      </c>
    </row>
    <row r="733" spans="1:28">
      <c r="A733" s="264">
        <v>40780</v>
      </c>
      <c r="B733" s="264">
        <v>40780</v>
      </c>
      <c r="C733" s="267">
        <v>475</v>
      </c>
      <c r="D733" s="267">
        <v>305</v>
      </c>
      <c r="E733" s="392">
        <v>350</v>
      </c>
      <c r="Z733" s="322">
        <v>40808</v>
      </c>
      <c r="AA733" s="324">
        <v>502.5</v>
      </c>
      <c r="AB733" s="323">
        <v>335</v>
      </c>
    </row>
    <row r="734" spans="1:28">
      <c r="A734" s="264">
        <v>40787</v>
      </c>
      <c r="B734" s="264">
        <v>40787</v>
      </c>
      <c r="C734" s="267">
        <v>486.5</v>
      </c>
      <c r="D734" s="267">
        <v>317.5</v>
      </c>
      <c r="E734" s="392">
        <v>350</v>
      </c>
      <c r="Z734" s="322">
        <v>40815</v>
      </c>
      <c r="AA734" s="324">
        <v>500</v>
      </c>
      <c r="AB734" s="323">
        <v>330</v>
      </c>
    </row>
    <row r="735" spans="1:28">
      <c r="A735" s="264">
        <v>40794</v>
      </c>
      <c r="B735" s="264">
        <v>40794</v>
      </c>
      <c r="C735" s="267">
        <v>492.5</v>
      </c>
      <c r="D735" s="267">
        <v>315</v>
      </c>
      <c r="E735" s="392">
        <v>330</v>
      </c>
      <c r="Z735" s="322">
        <v>40822</v>
      </c>
      <c r="AA735" s="324">
        <v>470</v>
      </c>
      <c r="AB735" s="323">
        <v>327.5</v>
      </c>
    </row>
    <row r="736" spans="1:28">
      <c r="A736" s="264">
        <v>40801</v>
      </c>
      <c r="B736" s="264">
        <v>40801</v>
      </c>
      <c r="C736" s="267">
        <v>502</v>
      </c>
      <c r="D736" s="267">
        <v>327.5</v>
      </c>
      <c r="E736" s="392">
        <v>332.5</v>
      </c>
      <c r="Z736" s="322">
        <v>40829</v>
      </c>
      <c r="AA736" s="324">
        <v>472.5</v>
      </c>
      <c r="AB736" s="323">
        <v>325</v>
      </c>
    </row>
    <row r="737" spans="1:28">
      <c r="A737" s="264">
        <v>40808</v>
      </c>
      <c r="B737" s="264">
        <v>40808</v>
      </c>
      <c r="C737" s="267">
        <v>502.5</v>
      </c>
      <c r="D737" s="267">
        <v>330</v>
      </c>
      <c r="E737" s="392">
        <v>340</v>
      </c>
      <c r="Z737" s="322">
        <v>40836</v>
      </c>
      <c r="AA737" s="324">
        <v>481.5</v>
      </c>
      <c r="AB737" s="323">
        <v>323.5</v>
      </c>
    </row>
    <row r="738" spans="1:28">
      <c r="A738" s="264">
        <v>40815</v>
      </c>
      <c r="B738" s="264">
        <v>40815</v>
      </c>
      <c r="C738" s="267">
        <v>500</v>
      </c>
      <c r="D738" s="267">
        <v>335</v>
      </c>
      <c r="E738" s="392">
        <v>340</v>
      </c>
      <c r="Z738" s="322">
        <v>40843</v>
      </c>
      <c r="AA738" s="324">
        <v>484</v>
      </c>
      <c r="AB738" s="323">
        <v>320.5</v>
      </c>
    </row>
    <row r="739" spans="1:28">
      <c r="A739" s="264">
        <v>40822</v>
      </c>
      <c r="B739" s="264">
        <v>40822</v>
      </c>
      <c r="C739" s="267">
        <v>470</v>
      </c>
      <c r="D739" s="267">
        <v>330</v>
      </c>
      <c r="E739" s="392">
        <v>340</v>
      </c>
      <c r="Z739" s="322">
        <v>40850</v>
      </c>
      <c r="AA739" s="324">
        <v>476.5</v>
      </c>
      <c r="AB739" s="323">
        <v>316</v>
      </c>
    </row>
    <row r="740" spans="1:28">
      <c r="A740" s="264">
        <v>40829</v>
      </c>
      <c r="B740" s="264">
        <v>40829</v>
      </c>
      <c r="C740" s="267">
        <v>472.5</v>
      </c>
      <c r="D740" s="267">
        <v>327.5</v>
      </c>
      <c r="E740" s="392">
        <v>340</v>
      </c>
      <c r="Z740" s="322">
        <v>40857</v>
      </c>
      <c r="AA740" s="324">
        <v>468</v>
      </c>
      <c r="AB740" s="323">
        <v>315</v>
      </c>
    </row>
    <row r="741" spans="1:28">
      <c r="A741" s="264">
        <v>40836</v>
      </c>
      <c r="B741" s="264">
        <v>40836</v>
      </c>
      <c r="C741" s="267">
        <v>481.5</v>
      </c>
      <c r="D741" s="267">
        <v>325</v>
      </c>
      <c r="E741" s="392">
        <v>337</v>
      </c>
      <c r="Z741" s="322">
        <v>40864</v>
      </c>
      <c r="AA741" s="324">
        <v>462.5</v>
      </c>
      <c r="AB741" s="323">
        <v>315</v>
      </c>
    </row>
    <row r="742" spans="1:28">
      <c r="A742" s="264">
        <v>40843</v>
      </c>
      <c r="B742" s="264">
        <v>40843</v>
      </c>
      <c r="C742" s="267">
        <v>484</v>
      </c>
      <c r="D742" s="267">
        <v>323.5</v>
      </c>
      <c r="E742" s="392">
        <v>337</v>
      </c>
      <c r="Z742" s="322">
        <v>40871</v>
      </c>
      <c r="AA742" s="324">
        <v>460</v>
      </c>
      <c r="AB742" s="323">
        <v>300</v>
      </c>
    </row>
    <row r="743" spans="1:28">
      <c r="A743" s="264">
        <v>40850</v>
      </c>
      <c r="B743" s="264">
        <v>40850</v>
      </c>
      <c r="C743" s="267">
        <v>476.5</v>
      </c>
      <c r="D743" s="267">
        <v>320.5</v>
      </c>
      <c r="E743" s="392">
        <v>347</v>
      </c>
      <c r="Z743" s="322">
        <v>40878</v>
      </c>
      <c r="AA743" s="324">
        <v>400</v>
      </c>
      <c r="AB743" s="323">
        <v>275</v>
      </c>
    </row>
    <row r="744" spans="1:28">
      <c r="A744" s="264">
        <v>40857</v>
      </c>
      <c r="B744" s="264">
        <v>40857</v>
      </c>
      <c r="C744" s="267">
        <v>468</v>
      </c>
      <c r="D744" s="267">
        <v>316</v>
      </c>
      <c r="E744" s="392">
        <v>347</v>
      </c>
      <c r="Z744" s="322">
        <v>40885</v>
      </c>
      <c r="AA744" s="324">
        <v>365</v>
      </c>
      <c r="AB744" s="323">
        <v>257.5</v>
      </c>
    </row>
    <row r="745" spans="1:28">
      <c r="A745" s="264">
        <v>40864</v>
      </c>
      <c r="B745" s="264">
        <v>40864</v>
      </c>
      <c r="C745" s="267">
        <v>462.5</v>
      </c>
      <c r="D745" s="267">
        <v>315</v>
      </c>
      <c r="E745" s="392">
        <v>347</v>
      </c>
      <c r="Z745" s="322">
        <v>40892</v>
      </c>
      <c r="AA745" s="324">
        <v>333.5</v>
      </c>
      <c r="AB745" s="323">
        <v>255</v>
      </c>
    </row>
    <row r="746" spans="1:28">
      <c r="A746" s="264">
        <v>40871</v>
      </c>
      <c r="B746" s="264">
        <v>40871</v>
      </c>
      <c r="C746" s="267">
        <v>460</v>
      </c>
      <c r="D746" s="267">
        <v>315</v>
      </c>
      <c r="E746" s="392">
        <v>347</v>
      </c>
      <c r="Z746" s="322">
        <v>40899</v>
      </c>
      <c r="AA746" s="324">
        <v>307.5</v>
      </c>
      <c r="AB746" s="323">
        <v>255</v>
      </c>
    </row>
    <row r="747" spans="1:28">
      <c r="A747" s="264">
        <v>40878</v>
      </c>
      <c r="B747" s="264">
        <v>40878</v>
      </c>
      <c r="C747" s="267">
        <v>400</v>
      </c>
      <c r="D747" s="267">
        <v>300</v>
      </c>
      <c r="E747" s="392">
        <v>347</v>
      </c>
      <c r="Z747" s="322">
        <v>40906</v>
      </c>
      <c r="AA747" s="324">
        <v>315</v>
      </c>
      <c r="AB747" s="323">
        <v>275</v>
      </c>
    </row>
    <row r="748" spans="1:28">
      <c r="A748" s="264">
        <v>40885</v>
      </c>
      <c r="B748" s="264">
        <v>40885</v>
      </c>
      <c r="C748" s="267">
        <v>365</v>
      </c>
      <c r="D748" s="267">
        <v>275</v>
      </c>
      <c r="E748" s="392">
        <v>347</v>
      </c>
      <c r="Z748" s="322">
        <v>40913</v>
      </c>
      <c r="AA748" s="324">
        <v>330</v>
      </c>
      <c r="AB748" s="323">
        <v>295</v>
      </c>
    </row>
    <row r="749" spans="1:28">
      <c r="A749" s="264">
        <v>40892</v>
      </c>
      <c r="B749" s="264">
        <v>40892</v>
      </c>
      <c r="C749" s="267">
        <v>333.5</v>
      </c>
      <c r="D749" s="267">
        <v>257.5</v>
      </c>
      <c r="E749" s="392">
        <v>347</v>
      </c>
      <c r="Z749" s="322">
        <v>40920</v>
      </c>
      <c r="AA749" s="324">
        <v>367.5</v>
      </c>
      <c r="AB749" s="323">
        <v>302.5</v>
      </c>
    </row>
    <row r="750" spans="1:28">
      <c r="A750" s="264">
        <v>40899</v>
      </c>
      <c r="B750" s="264">
        <v>40899</v>
      </c>
      <c r="C750" s="267">
        <v>307.5</v>
      </c>
      <c r="D750" s="267">
        <v>255</v>
      </c>
      <c r="E750" s="392">
        <v>347</v>
      </c>
      <c r="Z750" s="322">
        <v>40927</v>
      </c>
      <c r="AA750" s="324">
        <v>362.5</v>
      </c>
      <c r="AB750" s="323">
        <v>295</v>
      </c>
    </row>
    <row r="751" spans="1:28">
      <c r="A751" s="264">
        <v>40906</v>
      </c>
      <c r="B751" s="264">
        <v>40906</v>
      </c>
      <c r="C751" s="267">
        <v>315</v>
      </c>
      <c r="D751" s="267">
        <v>255</v>
      </c>
      <c r="E751" s="392">
        <v>327.5</v>
      </c>
      <c r="Z751" s="322">
        <v>40934</v>
      </c>
      <c r="AA751" s="324">
        <v>360</v>
      </c>
      <c r="AB751" s="323">
        <v>302.5</v>
      </c>
    </row>
    <row r="752" spans="1:28">
      <c r="A752" s="264">
        <v>40913</v>
      </c>
      <c r="B752" s="264">
        <v>40913</v>
      </c>
      <c r="C752" s="267">
        <v>330</v>
      </c>
      <c r="D752" s="267">
        <v>275</v>
      </c>
      <c r="E752" s="392">
        <v>327.5</v>
      </c>
      <c r="Z752" s="322">
        <v>40941</v>
      </c>
      <c r="AA752" s="324">
        <v>364</v>
      </c>
      <c r="AB752" s="323">
        <v>305</v>
      </c>
    </row>
    <row r="753" spans="1:28">
      <c r="A753" s="264">
        <v>40920</v>
      </c>
      <c r="B753" s="264">
        <v>40920</v>
      </c>
      <c r="C753" s="267">
        <v>367.5</v>
      </c>
      <c r="D753" s="267">
        <v>295</v>
      </c>
      <c r="E753" s="392">
        <v>319</v>
      </c>
      <c r="Z753" s="322">
        <v>40948</v>
      </c>
      <c r="AA753" s="324">
        <v>360</v>
      </c>
      <c r="AB753" s="323">
        <v>295</v>
      </c>
    </row>
    <row r="754" spans="1:28">
      <c r="A754" s="264">
        <v>40927</v>
      </c>
      <c r="B754" s="264">
        <v>40927</v>
      </c>
      <c r="C754" s="267">
        <v>362.5</v>
      </c>
      <c r="D754" s="267">
        <v>302.5</v>
      </c>
      <c r="E754" s="392">
        <v>297.5</v>
      </c>
      <c r="Z754" s="322">
        <v>40955</v>
      </c>
      <c r="AA754" s="324">
        <v>370</v>
      </c>
      <c r="AB754" s="323">
        <v>295</v>
      </c>
    </row>
    <row r="755" spans="1:28">
      <c r="A755" s="264">
        <v>40934</v>
      </c>
      <c r="B755" s="264">
        <v>40934</v>
      </c>
      <c r="C755" s="267">
        <v>360</v>
      </c>
      <c r="D755" s="267">
        <v>295</v>
      </c>
      <c r="E755" s="392">
        <v>265</v>
      </c>
      <c r="Z755" s="322">
        <v>40962</v>
      </c>
      <c r="AA755" s="324">
        <v>377.5</v>
      </c>
      <c r="AB755" s="323">
        <v>295</v>
      </c>
    </row>
    <row r="756" spans="1:28">
      <c r="A756" s="264">
        <v>40941</v>
      </c>
      <c r="B756" s="264">
        <v>40941</v>
      </c>
      <c r="C756" s="267">
        <v>364</v>
      </c>
      <c r="D756" s="267">
        <v>302.5</v>
      </c>
      <c r="E756" s="392">
        <v>265</v>
      </c>
      <c r="Z756" s="322">
        <v>40969</v>
      </c>
      <c r="AA756" s="324">
        <v>387.5</v>
      </c>
      <c r="AB756" s="323">
        <v>295</v>
      </c>
    </row>
    <row r="757" spans="1:28">
      <c r="A757" s="264">
        <v>40948</v>
      </c>
      <c r="B757" s="264">
        <v>40948</v>
      </c>
      <c r="C757" s="267">
        <v>360</v>
      </c>
      <c r="D757" s="267">
        <v>305</v>
      </c>
      <c r="E757" s="392">
        <v>252.5</v>
      </c>
      <c r="Z757" s="322">
        <v>40976</v>
      </c>
      <c r="AA757" s="324">
        <v>390</v>
      </c>
      <c r="AB757" s="323">
        <v>302.5</v>
      </c>
    </row>
    <row r="758" spans="1:28">
      <c r="A758" s="264">
        <v>40955</v>
      </c>
      <c r="B758" s="264">
        <v>40955</v>
      </c>
      <c r="C758" s="267">
        <v>370</v>
      </c>
      <c r="D758" s="267">
        <v>295</v>
      </c>
      <c r="E758" s="392">
        <v>252.5</v>
      </c>
      <c r="Z758" s="322">
        <v>40983</v>
      </c>
      <c r="AA758" s="324">
        <v>392.5</v>
      </c>
      <c r="AB758" s="323">
        <v>307.5</v>
      </c>
    </row>
    <row r="759" spans="1:28">
      <c r="A759" s="264">
        <v>40962</v>
      </c>
      <c r="B759" s="264">
        <v>40962</v>
      </c>
      <c r="C759" s="267">
        <v>377.5</v>
      </c>
      <c r="D759" s="267">
        <v>295</v>
      </c>
      <c r="E759" s="392">
        <v>262.5</v>
      </c>
      <c r="Z759" s="322">
        <v>40990</v>
      </c>
      <c r="AA759" s="324">
        <v>425</v>
      </c>
      <c r="AB759" s="323">
        <v>310</v>
      </c>
    </row>
    <row r="760" spans="1:28">
      <c r="A760" s="264">
        <v>40969</v>
      </c>
      <c r="B760" s="264">
        <v>40969</v>
      </c>
      <c r="C760" s="267">
        <v>387.5</v>
      </c>
      <c r="D760" s="267">
        <v>295</v>
      </c>
      <c r="E760" s="392">
        <v>262.5</v>
      </c>
      <c r="Z760" s="322">
        <v>40997</v>
      </c>
      <c r="AA760" s="324">
        <v>442.5</v>
      </c>
      <c r="AB760" s="323">
        <v>325</v>
      </c>
    </row>
    <row r="761" spans="1:28">
      <c r="A761" s="264">
        <v>40976</v>
      </c>
      <c r="B761" s="264">
        <v>40976</v>
      </c>
      <c r="C761" s="267">
        <v>390</v>
      </c>
      <c r="D761" s="267">
        <v>295</v>
      </c>
      <c r="E761" s="392">
        <v>257.5</v>
      </c>
      <c r="Z761" s="322">
        <v>41004</v>
      </c>
      <c r="AA761" s="324">
        <v>450</v>
      </c>
      <c r="AB761" s="323">
        <v>329</v>
      </c>
    </row>
    <row r="762" spans="1:28">
      <c r="A762" s="264">
        <v>40983</v>
      </c>
      <c r="B762" s="264">
        <v>40983</v>
      </c>
      <c r="C762" s="267">
        <v>392.5</v>
      </c>
      <c r="D762" s="267">
        <v>302.5</v>
      </c>
      <c r="E762" s="392">
        <v>257.5</v>
      </c>
      <c r="Z762" s="322">
        <v>41011</v>
      </c>
      <c r="AA762" s="324">
        <v>493.5</v>
      </c>
      <c r="AB762" s="323">
        <v>336.5</v>
      </c>
    </row>
    <row r="763" spans="1:28">
      <c r="A763" s="264">
        <v>40990</v>
      </c>
      <c r="B763" s="264">
        <v>40990</v>
      </c>
      <c r="C763" s="267">
        <v>425</v>
      </c>
      <c r="D763" s="267">
        <v>307.5</v>
      </c>
      <c r="E763" s="392">
        <v>250</v>
      </c>
      <c r="Z763" s="322">
        <v>41018</v>
      </c>
      <c r="AA763" s="324">
        <v>508.5</v>
      </c>
      <c r="AB763" s="323">
        <v>345</v>
      </c>
    </row>
    <row r="764" spans="1:28">
      <c r="A764" s="264">
        <v>40997</v>
      </c>
      <c r="B764" s="264">
        <v>40997</v>
      </c>
      <c r="C764" s="267">
        <v>442.5</v>
      </c>
      <c r="D764" s="267">
        <v>310</v>
      </c>
      <c r="E764" s="392">
        <v>240</v>
      </c>
      <c r="Z764" s="322">
        <v>41025</v>
      </c>
      <c r="AA764" s="324">
        <v>508.5</v>
      </c>
      <c r="AB764" s="323">
        <v>350</v>
      </c>
    </row>
    <row r="765" spans="1:28">
      <c r="A765" s="264">
        <v>41004</v>
      </c>
      <c r="B765" s="264">
        <v>41004</v>
      </c>
      <c r="C765" s="267">
        <v>450</v>
      </c>
      <c r="D765" s="267">
        <v>325</v>
      </c>
      <c r="E765" s="392">
        <v>242.5</v>
      </c>
      <c r="Z765" s="322">
        <v>41032</v>
      </c>
      <c r="AA765" s="324">
        <v>516</v>
      </c>
      <c r="AB765" s="323">
        <v>357.5</v>
      </c>
    </row>
    <row r="766" spans="1:28">
      <c r="A766" s="264">
        <v>41011</v>
      </c>
      <c r="B766" s="264">
        <v>41011</v>
      </c>
      <c r="C766" s="267">
        <v>493.5</v>
      </c>
      <c r="D766" s="267">
        <v>329</v>
      </c>
      <c r="E766" s="392">
        <v>255</v>
      </c>
      <c r="Z766" s="322">
        <v>41039</v>
      </c>
      <c r="AA766" s="324">
        <v>527.5</v>
      </c>
      <c r="AB766" s="323">
        <v>345</v>
      </c>
    </row>
    <row r="767" spans="1:28">
      <c r="A767" s="264">
        <v>41018</v>
      </c>
      <c r="B767" s="264">
        <v>41018</v>
      </c>
      <c r="C767" s="267">
        <v>508.5</v>
      </c>
      <c r="D767" s="267">
        <v>336.5</v>
      </c>
      <c r="E767" s="392">
        <v>265</v>
      </c>
      <c r="Z767" s="322">
        <v>41046</v>
      </c>
      <c r="AA767" s="324">
        <v>485</v>
      </c>
      <c r="AB767" s="323">
        <v>335</v>
      </c>
    </row>
    <row r="768" spans="1:28">
      <c r="A768" s="264">
        <v>41025</v>
      </c>
      <c r="B768" s="264">
        <v>41025</v>
      </c>
      <c r="C768" s="267">
        <v>508.5</v>
      </c>
      <c r="D768" s="267">
        <v>345</v>
      </c>
      <c r="E768" s="392">
        <v>282.5</v>
      </c>
      <c r="Z768" s="322">
        <v>41053</v>
      </c>
      <c r="AA768" s="324">
        <v>475</v>
      </c>
      <c r="AB768" s="323">
        <v>330</v>
      </c>
    </row>
    <row r="769" spans="1:28">
      <c r="A769" s="264">
        <v>41032</v>
      </c>
      <c r="B769" s="264">
        <v>41032</v>
      </c>
      <c r="C769" s="267">
        <v>516</v>
      </c>
      <c r="D769" s="267">
        <v>350</v>
      </c>
      <c r="E769" s="393">
        <v>312.5</v>
      </c>
      <c r="Z769" s="322">
        <v>41060</v>
      </c>
      <c r="AA769" s="324">
        <v>455</v>
      </c>
      <c r="AB769" s="323">
        <v>315</v>
      </c>
    </row>
    <row r="770" spans="1:28">
      <c r="A770" s="264">
        <v>41039</v>
      </c>
      <c r="B770" s="264">
        <v>41039</v>
      </c>
      <c r="C770" s="267">
        <v>527.5</v>
      </c>
      <c r="D770" s="267">
        <v>357.5</v>
      </c>
      <c r="E770" s="393">
        <v>307.5</v>
      </c>
      <c r="Z770" s="322">
        <v>41067</v>
      </c>
      <c r="AA770" s="324">
        <v>442.5</v>
      </c>
      <c r="AB770" s="323">
        <v>292.5</v>
      </c>
    </row>
    <row r="771" spans="1:28">
      <c r="A771" s="264">
        <v>41046</v>
      </c>
      <c r="B771" s="264">
        <v>41046</v>
      </c>
      <c r="C771" s="267">
        <v>485</v>
      </c>
      <c r="D771" s="267">
        <v>345</v>
      </c>
      <c r="E771" s="392">
        <v>307.5</v>
      </c>
      <c r="Z771" s="322">
        <v>41074</v>
      </c>
      <c r="AA771" s="324">
        <v>435</v>
      </c>
      <c r="AB771" s="323">
        <v>267.5</v>
      </c>
    </row>
    <row r="772" spans="1:28">
      <c r="A772" s="264">
        <v>41053</v>
      </c>
      <c r="B772" s="264">
        <v>41053</v>
      </c>
      <c r="C772" s="267">
        <v>475</v>
      </c>
      <c r="D772" s="267">
        <v>335</v>
      </c>
      <c r="E772" s="392">
        <v>347.5</v>
      </c>
      <c r="Z772" s="322">
        <v>41081</v>
      </c>
      <c r="AA772" s="324">
        <v>400</v>
      </c>
      <c r="AB772" s="323">
        <v>252</v>
      </c>
    </row>
    <row r="773" spans="1:28">
      <c r="A773" s="264">
        <v>41060</v>
      </c>
      <c r="B773" s="264">
        <v>41060</v>
      </c>
      <c r="C773" s="267">
        <v>455</v>
      </c>
      <c r="D773" s="267">
        <v>330</v>
      </c>
      <c r="E773" s="392">
        <v>342.5</v>
      </c>
      <c r="Z773" s="322">
        <v>41088</v>
      </c>
      <c r="AA773" s="324">
        <v>367.5</v>
      </c>
      <c r="AB773" s="323">
        <v>250</v>
      </c>
    </row>
    <row r="774" spans="1:28">
      <c r="A774" s="264">
        <v>41067</v>
      </c>
      <c r="B774" s="264">
        <v>41067</v>
      </c>
      <c r="C774" s="267">
        <v>442.5</v>
      </c>
      <c r="D774" s="267">
        <v>315</v>
      </c>
      <c r="E774" s="392">
        <v>342.5</v>
      </c>
      <c r="Z774" s="322">
        <v>41095</v>
      </c>
      <c r="AA774" s="324">
        <v>357.5</v>
      </c>
      <c r="AB774" s="323">
        <v>275</v>
      </c>
    </row>
    <row r="775" spans="1:28">
      <c r="A775" s="264">
        <v>41074</v>
      </c>
      <c r="B775" s="264">
        <v>41074</v>
      </c>
      <c r="C775" s="267">
        <v>435</v>
      </c>
      <c r="D775" s="267">
        <v>292.5</v>
      </c>
      <c r="E775" s="392">
        <v>342.5</v>
      </c>
      <c r="Z775" s="322">
        <v>41102</v>
      </c>
      <c r="AA775" s="324">
        <v>402.5</v>
      </c>
      <c r="AB775" s="323">
        <v>272.5</v>
      </c>
    </row>
    <row r="776" spans="1:28">
      <c r="A776" s="264">
        <v>41081</v>
      </c>
      <c r="B776" s="264">
        <v>41081</v>
      </c>
      <c r="C776" s="267">
        <v>400</v>
      </c>
      <c r="D776" s="267">
        <v>267.5</v>
      </c>
      <c r="E776" s="392">
        <v>282.5</v>
      </c>
      <c r="Z776" s="322">
        <v>41109</v>
      </c>
      <c r="AA776" s="324">
        <v>380</v>
      </c>
      <c r="AB776" s="323">
        <v>262.5</v>
      </c>
    </row>
    <row r="777" spans="1:28">
      <c r="A777" s="264">
        <v>41088</v>
      </c>
      <c r="B777" s="264">
        <v>41088</v>
      </c>
      <c r="C777" s="267">
        <v>367.5</v>
      </c>
      <c r="D777" s="267">
        <v>252</v>
      </c>
      <c r="E777" s="392">
        <v>288.5</v>
      </c>
      <c r="Z777" s="322">
        <v>41116</v>
      </c>
      <c r="AA777" s="324">
        <v>380</v>
      </c>
      <c r="AB777" s="323">
        <v>262.5</v>
      </c>
    </row>
    <row r="778" spans="1:28">
      <c r="A778" s="264">
        <v>41095</v>
      </c>
      <c r="B778" s="264">
        <v>41095</v>
      </c>
      <c r="C778" s="267">
        <v>357.5</v>
      </c>
      <c r="D778" s="267">
        <v>250</v>
      </c>
      <c r="E778" s="392">
        <v>272.5</v>
      </c>
      <c r="Z778" s="322">
        <v>41123</v>
      </c>
      <c r="AA778" s="324">
        <v>381.5</v>
      </c>
      <c r="AB778" s="323">
        <v>265.5</v>
      </c>
    </row>
    <row r="779" spans="1:28">
      <c r="A779" s="264">
        <v>41102</v>
      </c>
      <c r="B779" s="264">
        <v>41102</v>
      </c>
      <c r="C779" s="267">
        <v>402.5</v>
      </c>
      <c r="D779" s="267">
        <v>275</v>
      </c>
      <c r="E779" s="392">
        <v>272.5</v>
      </c>
      <c r="Z779" s="322">
        <v>41130</v>
      </c>
      <c r="AA779" s="324">
        <v>370</v>
      </c>
      <c r="AB779" s="323">
        <v>262.5</v>
      </c>
    </row>
    <row r="780" spans="1:28">
      <c r="A780" s="264">
        <v>41109</v>
      </c>
      <c r="B780" s="264">
        <v>41109</v>
      </c>
      <c r="C780" s="267">
        <v>380</v>
      </c>
      <c r="D780" s="267">
        <v>272.5</v>
      </c>
      <c r="E780" s="392">
        <v>267.5</v>
      </c>
      <c r="Z780" s="322">
        <v>41137</v>
      </c>
      <c r="AA780" s="324">
        <v>365</v>
      </c>
      <c r="AB780" s="323">
        <v>260.5</v>
      </c>
    </row>
    <row r="781" spans="1:28">
      <c r="A781" s="264">
        <v>41116</v>
      </c>
      <c r="B781" s="264">
        <v>41116</v>
      </c>
      <c r="C781" s="267">
        <v>380</v>
      </c>
      <c r="D781" s="267">
        <v>262.5</v>
      </c>
      <c r="E781" s="392">
        <v>250</v>
      </c>
      <c r="Z781" s="322">
        <v>41144</v>
      </c>
      <c r="AA781" s="324">
        <v>367.5</v>
      </c>
      <c r="AB781" s="323">
        <v>264</v>
      </c>
    </row>
    <row r="782" spans="1:28">
      <c r="A782" s="264">
        <v>41123</v>
      </c>
      <c r="B782" s="264">
        <v>41123</v>
      </c>
      <c r="C782" s="267">
        <v>381.5</v>
      </c>
      <c r="D782" s="267">
        <v>262.5</v>
      </c>
      <c r="E782" s="392">
        <v>250</v>
      </c>
      <c r="Z782" s="322">
        <v>41151</v>
      </c>
      <c r="AA782" s="324">
        <v>375</v>
      </c>
      <c r="AB782" s="323">
        <v>264</v>
      </c>
    </row>
    <row r="783" spans="1:28">
      <c r="A783" s="264">
        <v>41130</v>
      </c>
      <c r="B783" s="264">
        <v>41130</v>
      </c>
      <c r="C783" s="267">
        <v>370</v>
      </c>
      <c r="D783" s="267">
        <v>265.5</v>
      </c>
      <c r="E783" s="392">
        <v>272.5</v>
      </c>
      <c r="Z783" s="322">
        <v>41158</v>
      </c>
      <c r="AA783" s="324">
        <v>372.5</v>
      </c>
      <c r="AB783" s="323">
        <v>265</v>
      </c>
    </row>
    <row r="784" spans="1:28">
      <c r="A784" s="264">
        <v>41137</v>
      </c>
      <c r="B784" s="264">
        <v>41137</v>
      </c>
      <c r="C784" s="267">
        <v>365</v>
      </c>
      <c r="D784" s="267">
        <v>262.5</v>
      </c>
      <c r="E784" s="392">
        <v>272.5</v>
      </c>
      <c r="Z784" s="322">
        <v>41165</v>
      </c>
      <c r="AA784" s="324">
        <v>378.5</v>
      </c>
      <c r="AB784" s="323">
        <v>280</v>
      </c>
    </row>
    <row r="785" spans="1:28">
      <c r="A785" s="264">
        <v>41144</v>
      </c>
      <c r="B785" s="264">
        <v>41144</v>
      </c>
      <c r="C785" s="267">
        <v>367.5</v>
      </c>
      <c r="D785" s="267">
        <v>260.5</v>
      </c>
      <c r="E785" s="392">
        <v>277.5</v>
      </c>
      <c r="Z785" s="322">
        <v>41172</v>
      </c>
      <c r="AA785" s="324">
        <v>385</v>
      </c>
      <c r="AB785" s="323">
        <v>310</v>
      </c>
    </row>
    <row r="786" spans="1:28">
      <c r="A786" s="264">
        <v>41151</v>
      </c>
      <c r="B786" s="264">
        <v>41151</v>
      </c>
      <c r="C786" s="267">
        <v>375</v>
      </c>
      <c r="D786" s="267">
        <v>264</v>
      </c>
      <c r="E786" s="392">
        <v>292.5</v>
      </c>
      <c r="Z786" s="322">
        <v>41179</v>
      </c>
      <c r="AA786" s="324">
        <v>385</v>
      </c>
      <c r="AB786" s="323">
        <v>310</v>
      </c>
    </row>
    <row r="787" spans="1:28">
      <c r="A787" s="264">
        <v>41158</v>
      </c>
      <c r="B787" s="264">
        <v>41158</v>
      </c>
      <c r="C787" s="267">
        <v>372.5</v>
      </c>
      <c r="D787" s="267">
        <v>264</v>
      </c>
      <c r="E787" s="392">
        <v>307.5</v>
      </c>
      <c r="Z787" s="322">
        <v>41186</v>
      </c>
      <c r="AA787" s="324">
        <v>390</v>
      </c>
      <c r="AB787" s="323">
        <v>310</v>
      </c>
    </row>
    <row r="788" spans="1:28">
      <c r="A788" s="264">
        <v>41165</v>
      </c>
      <c r="B788" s="264">
        <v>41165</v>
      </c>
      <c r="C788" s="267">
        <v>378.5</v>
      </c>
      <c r="D788" s="267">
        <v>265</v>
      </c>
      <c r="E788" s="392">
        <v>307.5</v>
      </c>
      <c r="Z788" s="322">
        <v>41193</v>
      </c>
      <c r="AA788" s="324">
        <v>402.5</v>
      </c>
      <c r="AB788" s="323">
        <v>305</v>
      </c>
    </row>
    <row r="789" spans="1:28">
      <c r="A789" s="264">
        <v>41172</v>
      </c>
      <c r="B789" s="264">
        <v>41172</v>
      </c>
      <c r="C789" s="267">
        <v>385</v>
      </c>
      <c r="D789" s="267">
        <v>280</v>
      </c>
      <c r="E789" s="392">
        <v>307.5</v>
      </c>
      <c r="Z789" s="322">
        <v>41200</v>
      </c>
      <c r="AA789" s="324">
        <v>400</v>
      </c>
      <c r="AB789" s="323">
        <v>315</v>
      </c>
    </row>
    <row r="790" spans="1:28">
      <c r="A790" s="264">
        <v>41179</v>
      </c>
      <c r="B790" s="264">
        <v>41179</v>
      </c>
      <c r="C790" s="267">
        <v>385</v>
      </c>
      <c r="D790" s="267">
        <v>310</v>
      </c>
      <c r="E790" s="392">
        <v>307.5</v>
      </c>
      <c r="Z790" s="322">
        <v>41207</v>
      </c>
      <c r="AA790" s="324">
        <v>383.5</v>
      </c>
      <c r="AB790" s="323">
        <v>305</v>
      </c>
    </row>
    <row r="791" spans="1:28">
      <c r="A791" s="264">
        <v>41186</v>
      </c>
      <c r="B791" s="264">
        <v>41186</v>
      </c>
      <c r="C791" s="267">
        <v>390</v>
      </c>
      <c r="D791" s="267">
        <v>310</v>
      </c>
      <c r="E791" s="392">
        <v>307.5</v>
      </c>
      <c r="Z791" s="322">
        <v>41214</v>
      </c>
      <c r="AA791" s="324">
        <v>377.5</v>
      </c>
      <c r="AB791" s="323">
        <v>290</v>
      </c>
    </row>
    <row r="792" spans="1:28">
      <c r="A792" s="264">
        <v>41193</v>
      </c>
      <c r="B792" s="264">
        <v>41193</v>
      </c>
      <c r="C792" s="267">
        <v>402.5</v>
      </c>
      <c r="D792" s="267">
        <v>310</v>
      </c>
      <c r="E792" s="392">
        <v>295.5</v>
      </c>
      <c r="Z792" s="322">
        <v>41221</v>
      </c>
      <c r="AA792" s="324">
        <v>365</v>
      </c>
      <c r="AB792" s="323">
        <v>285</v>
      </c>
    </row>
    <row r="793" spans="1:28">
      <c r="A793" s="264">
        <v>41200</v>
      </c>
      <c r="B793" s="264">
        <v>41200</v>
      </c>
      <c r="C793" s="267">
        <v>400</v>
      </c>
      <c r="D793" s="267">
        <v>305</v>
      </c>
      <c r="E793" s="392">
        <v>282.5</v>
      </c>
      <c r="Z793" s="322">
        <v>41228</v>
      </c>
      <c r="AA793" s="324">
        <v>359</v>
      </c>
      <c r="AB793" s="323">
        <v>285</v>
      </c>
    </row>
    <row r="794" spans="1:28">
      <c r="A794" s="264">
        <v>41207</v>
      </c>
      <c r="B794" s="264">
        <v>41207</v>
      </c>
      <c r="C794" s="267">
        <v>383.5</v>
      </c>
      <c r="D794" s="267">
        <v>315</v>
      </c>
      <c r="E794" s="392">
        <v>282.5</v>
      </c>
      <c r="Z794" s="322">
        <v>41235</v>
      </c>
      <c r="AA794" s="324">
        <v>367</v>
      </c>
      <c r="AB794" s="323">
        <v>297</v>
      </c>
    </row>
    <row r="795" spans="1:28">
      <c r="A795" s="264">
        <v>41214</v>
      </c>
      <c r="B795" s="264">
        <v>41214</v>
      </c>
      <c r="C795" s="267">
        <v>377.5</v>
      </c>
      <c r="D795" s="267">
        <v>305</v>
      </c>
      <c r="E795" s="392">
        <v>292.5</v>
      </c>
      <c r="Z795" s="322">
        <v>41242</v>
      </c>
      <c r="AA795" s="324">
        <v>365</v>
      </c>
      <c r="AB795" s="323">
        <v>300</v>
      </c>
    </row>
    <row r="796" spans="1:28">
      <c r="A796" s="264">
        <v>41221</v>
      </c>
      <c r="B796" s="264">
        <v>41221</v>
      </c>
      <c r="C796" s="267">
        <v>365</v>
      </c>
      <c r="D796" s="267">
        <v>290</v>
      </c>
      <c r="E796" s="392">
        <v>292.5</v>
      </c>
      <c r="Z796" s="322">
        <v>41249</v>
      </c>
      <c r="AA796" s="324">
        <v>369</v>
      </c>
      <c r="AB796" s="323">
        <v>307.5</v>
      </c>
    </row>
    <row r="797" spans="1:28">
      <c r="A797" s="264">
        <v>41228</v>
      </c>
      <c r="B797" s="264">
        <v>41228</v>
      </c>
      <c r="C797" s="267">
        <v>359</v>
      </c>
      <c r="D797" s="267">
        <v>285</v>
      </c>
      <c r="E797" s="392">
        <v>297.5</v>
      </c>
      <c r="Z797" s="322">
        <v>41256</v>
      </c>
      <c r="AA797" s="324">
        <v>367.5</v>
      </c>
      <c r="AB797" s="323">
        <v>307.5</v>
      </c>
    </row>
    <row r="798" spans="1:28">
      <c r="A798" s="264">
        <v>41235</v>
      </c>
      <c r="B798" s="264">
        <v>41235</v>
      </c>
      <c r="C798" s="267">
        <v>367</v>
      </c>
      <c r="D798" s="267">
        <v>285</v>
      </c>
      <c r="E798" s="392">
        <v>297.5</v>
      </c>
      <c r="Z798" s="322">
        <v>41263</v>
      </c>
      <c r="AA798" s="324">
        <v>366.5</v>
      </c>
      <c r="AB798" s="323">
        <v>307.5</v>
      </c>
    </row>
    <row r="799" spans="1:28">
      <c r="A799" s="264">
        <v>41242</v>
      </c>
      <c r="B799" s="264">
        <v>41242</v>
      </c>
      <c r="C799" s="267">
        <v>365</v>
      </c>
      <c r="D799" s="267">
        <v>297</v>
      </c>
      <c r="E799" s="392">
        <v>297.5</v>
      </c>
      <c r="Z799" s="322">
        <v>41270</v>
      </c>
      <c r="AA799" s="324">
        <v>365</v>
      </c>
      <c r="AB799" s="323">
        <v>307</v>
      </c>
    </row>
    <row r="800" spans="1:28">
      <c r="A800" s="264">
        <v>41249</v>
      </c>
      <c r="B800" s="264">
        <v>41249</v>
      </c>
      <c r="C800" s="267">
        <v>369</v>
      </c>
      <c r="D800" s="267">
        <v>300</v>
      </c>
      <c r="E800" s="392">
        <v>297.5</v>
      </c>
      <c r="Z800" s="322">
        <v>41277</v>
      </c>
      <c r="AA800" s="324">
        <v>367</v>
      </c>
      <c r="AB800" s="323">
        <v>310</v>
      </c>
    </row>
    <row r="801" spans="1:28">
      <c r="A801" s="264">
        <v>41256</v>
      </c>
      <c r="B801" s="264">
        <v>41256</v>
      </c>
      <c r="C801" s="267">
        <v>367.5</v>
      </c>
      <c r="D801" s="267">
        <v>307.5</v>
      </c>
      <c r="E801" s="392">
        <v>292.5</v>
      </c>
      <c r="Z801" s="322">
        <v>41284</v>
      </c>
      <c r="AA801" s="324">
        <v>370</v>
      </c>
      <c r="AB801" s="323">
        <v>311</v>
      </c>
    </row>
    <row r="802" spans="1:28">
      <c r="A802" s="264">
        <v>41263</v>
      </c>
      <c r="B802" s="264">
        <v>41263</v>
      </c>
      <c r="C802" s="267">
        <v>366.5</v>
      </c>
      <c r="D802" s="267">
        <v>307.5</v>
      </c>
      <c r="E802" s="392">
        <v>292.5</v>
      </c>
      <c r="Z802" s="322">
        <v>41291</v>
      </c>
      <c r="AA802" s="324">
        <v>378</v>
      </c>
      <c r="AB802" s="323">
        <v>314</v>
      </c>
    </row>
    <row r="803" spans="1:28">
      <c r="A803" s="264">
        <v>41270</v>
      </c>
      <c r="B803" s="264">
        <v>41270</v>
      </c>
      <c r="C803" s="267">
        <v>365</v>
      </c>
      <c r="D803" s="267">
        <v>307.5</v>
      </c>
      <c r="E803" s="392">
        <v>290</v>
      </c>
      <c r="Z803" s="322">
        <v>41298</v>
      </c>
      <c r="AA803" s="324">
        <v>385</v>
      </c>
      <c r="AB803" s="323">
        <v>320.5</v>
      </c>
    </row>
    <row r="804" spans="1:28">
      <c r="A804" s="264">
        <v>41277</v>
      </c>
      <c r="B804" s="264">
        <v>41277</v>
      </c>
      <c r="C804" s="267">
        <v>367</v>
      </c>
      <c r="D804" s="267">
        <v>307</v>
      </c>
      <c r="E804" s="392">
        <v>282.5</v>
      </c>
      <c r="Z804" s="322">
        <v>41305</v>
      </c>
      <c r="AA804" s="324">
        <v>400</v>
      </c>
      <c r="AB804" s="323">
        <v>342.5</v>
      </c>
    </row>
    <row r="805" spans="1:28">
      <c r="A805" s="264">
        <v>41284</v>
      </c>
      <c r="B805" s="264">
        <v>41284</v>
      </c>
      <c r="C805" s="267">
        <v>370</v>
      </c>
      <c r="D805" s="267">
        <v>310</v>
      </c>
      <c r="E805" s="392">
        <v>295</v>
      </c>
      <c r="Z805" s="322">
        <v>41312</v>
      </c>
      <c r="AA805" s="324">
        <v>412.5</v>
      </c>
      <c r="AB805" s="323">
        <v>357.5</v>
      </c>
    </row>
    <row r="806" spans="1:28">
      <c r="A806" s="264">
        <v>41291</v>
      </c>
      <c r="B806" s="264">
        <v>41291</v>
      </c>
      <c r="C806" s="267">
        <v>378</v>
      </c>
      <c r="D806" s="267">
        <v>311</v>
      </c>
      <c r="E806" s="392">
        <v>300</v>
      </c>
      <c r="Z806" s="322">
        <v>41319</v>
      </c>
      <c r="AA806" s="324">
        <v>415</v>
      </c>
      <c r="AB806" s="323">
        <v>357.5</v>
      </c>
    </row>
    <row r="807" spans="1:28">
      <c r="A807" s="264">
        <v>41298</v>
      </c>
      <c r="B807" s="264">
        <v>41298</v>
      </c>
      <c r="C807" s="267">
        <v>385</v>
      </c>
      <c r="D807" s="267">
        <v>314</v>
      </c>
      <c r="E807" s="392">
        <v>310</v>
      </c>
      <c r="Z807" s="322">
        <v>41326</v>
      </c>
      <c r="AA807" s="324">
        <v>387.5</v>
      </c>
      <c r="AB807" s="323">
        <v>355</v>
      </c>
    </row>
    <row r="808" spans="1:28">
      <c r="A808" s="264">
        <v>41305</v>
      </c>
      <c r="B808" s="264">
        <v>41305</v>
      </c>
      <c r="C808" s="267">
        <v>400</v>
      </c>
      <c r="D808" s="267">
        <v>320.5</v>
      </c>
      <c r="E808" s="392">
        <v>312.5</v>
      </c>
      <c r="Z808" s="322">
        <v>41333</v>
      </c>
      <c r="AA808" s="324">
        <v>380</v>
      </c>
      <c r="AB808" s="323">
        <v>350</v>
      </c>
    </row>
    <row r="809" spans="1:28">
      <c r="A809" s="264">
        <v>41312</v>
      </c>
      <c r="B809" s="264">
        <v>41312</v>
      </c>
      <c r="C809" s="267">
        <v>412.5</v>
      </c>
      <c r="D809" s="267">
        <v>342.5</v>
      </c>
      <c r="E809" s="392">
        <v>277.5</v>
      </c>
      <c r="Z809" s="322">
        <v>41340</v>
      </c>
      <c r="AA809" s="324">
        <v>380</v>
      </c>
      <c r="AB809" s="323">
        <v>345</v>
      </c>
    </row>
    <row r="810" spans="1:28">
      <c r="A810" s="264">
        <v>41319</v>
      </c>
      <c r="B810" s="264">
        <v>41319</v>
      </c>
      <c r="C810" s="267">
        <v>415</v>
      </c>
      <c r="D810" s="267">
        <v>357.5</v>
      </c>
      <c r="E810" s="392">
        <v>277.5</v>
      </c>
      <c r="Z810" s="322">
        <v>41347</v>
      </c>
      <c r="AA810" s="324">
        <v>377.5</v>
      </c>
      <c r="AB810" s="323">
        <v>342.5</v>
      </c>
    </row>
    <row r="811" spans="1:28">
      <c r="A811" s="264">
        <v>41326</v>
      </c>
      <c r="B811" s="264">
        <v>41326</v>
      </c>
      <c r="C811" s="267">
        <v>387.5</v>
      </c>
      <c r="D811" s="267">
        <v>357.5</v>
      </c>
      <c r="E811" s="392">
        <v>282.5</v>
      </c>
      <c r="Z811" s="322">
        <v>41354</v>
      </c>
      <c r="AA811" s="324">
        <v>372.5</v>
      </c>
      <c r="AB811" s="323">
        <v>342.5</v>
      </c>
    </row>
    <row r="812" spans="1:28">
      <c r="A812" s="264">
        <v>41333</v>
      </c>
      <c r="B812" s="264">
        <v>41333</v>
      </c>
      <c r="C812" s="267">
        <v>380</v>
      </c>
      <c r="D812" s="267">
        <v>355</v>
      </c>
      <c r="E812" s="392">
        <v>302.5</v>
      </c>
      <c r="Z812" s="322">
        <v>41361</v>
      </c>
      <c r="AA812" s="324">
        <v>372.5</v>
      </c>
      <c r="AB812" s="323">
        <v>342.5</v>
      </c>
    </row>
    <row r="813" spans="1:28">
      <c r="A813" s="264">
        <v>41340</v>
      </c>
      <c r="B813" s="264">
        <v>41340</v>
      </c>
      <c r="C813" s="267">
        <v>380</v>
      </c>
      <c r="D813" s="267">
        <v>350</v>
      </c>
      <c r="E813" s="392">
        <v>302.5</v>
      </c>
      <c r="Z813" s="322">
        <v>41368</v>
      </c>
      <c r="AA813" s="324">
        <v>372.5</v>
      </c>
      <c r="AB813" s="323">
        <v>310</v>
      </c>
    </row>
    <row r="814" spans="1:28">
      <c r="A814" s="264">
        <v>41347</v>
      </c>
      <c r="B814" s="264">
        <v>41347</v>
      </c>
      <c r="C814" s="267">
        <v>377.5</v>
      </c>
      <c r="D814" s="267">
        <v>345</v>
      </c>
      <c r="E814" s="392">
        <v>317.5</v>
      </c>
      <c r="Z814" s="322">
        <v>41375</v>
      </c>
      <c r="AA814" s="324">
        <v>352.5</v>
      </c>
      <c r="AB814" s="323">
        <v>297.5</v>
      </c>
    </row>
    <row r="815" spans="1:28">
      <c r="A815" s="264">
        <v>41354</v>
      </c>
      <c r="B815" s="264">
        <v>41354</v>
      </c>
      <c r="C815" s="267">
        <v>372.5</v>
      </c>
      <c r="D815" s="267">
        <v>342.5</v>
      </c>
      <c r="E815" s="392">
        <v>332.5</v>
      </c>
      <c r="Z815" s="322">
        <v>41382</v>
      </c>
      <c r="AA815" s="324">
        <v>346</v>
      </c>
      <c r="AB815" s="323">
        <v>292.5</v>
      </c>
    </row>
    <row r="816" spans="1:28">
      <c r="A816" s="264">
        <v>41361</v>
      </c>
      <c r="B816" s="264">
        <v>41361</v>
      </c>
      <c r="C816" s="267">
        <v>372.5</v>
      </c>
      <c r="D816" s="267">
        <v>342.5</v>
      </c>
      <c r="E816" s="392">
        <v>332.5</v>
      </c>
      <c r="Z816" s="322">
        <v>41389</v>
      </c>
      <c r="AA816" s="324">
        <v>353.5</v>
      </c>
      <c r="AB816" s="323">
        <v>267.5</v>
      </c>
    </row>
    <row r="817" spans="1:28">
      <c r="A817" s="264">
        <v>41368</v>
      </c>
      <c r="B817" s="264">
        <v>41368</v>
      </c>
      <c r="C817" s="267">
        <v>372.5</v>
      </c>
      <c r="D817" s="267">
        <v>342.5</v>
      </c>
      <c r="E817" s="392">
        <v>332.5</v>
      </c>
      <c r="Z817" s="322">
        <v>41396</v>
      </c>
      <c r="AA817" s="324">
        <v>347.5</v>
      </c>
      <c r="AB817" s="323">
        <v>262.5</v>
      </c>
    </row>
    <row r="818" spans="1:28">
      <c r="A818" s="264">
        <v>41375</v>
      </c>
      <c r="B818" s="264">
        <v>41375</v>
      </c>
      <c r="C818" s="267">
        <v>352.5</v>
      </c>
      <c r="D818" s="267">
        <v>310</v>
      </c>
      <c r="E818" s="392">
        <v>327.5</v>
      </c>
      <c r="Z818" s="322">
        <v>41403</v>
      </c>
      <c r="AA818" s="324">
        <v>342.5</v>
      </c>
      <c r="AB818" s="323">
        <v>257.5</v>
      </c>
    </row>
    <row r="819" spans="1:28">
      <c r="A819" s="264">
        <v>41382</v>
      </c>
      <c r="B819" s="264">
        <v>41382</v>
      </c>
      <c r="C819" s="267">
        <v>346</v>
      </c>
      <c r="D819" s="267">
        <v>297.5</v>
      </c>
      <c r="E819" s="392">
        <v>327.5</v>
      </c>
      <c r="Z819" s="322">
        <v>41410</v>
      </c>
      <c r="AA819" s="324">
        <v>340</v>
      </c>
      <c r="AB819" s="323">
        <v>252.5</v>
      </c>
    </row>
    <row r="820" spans="1:28">
      <c r="A820" s="264">
        <v>41389</v>
      </c>
      <c r="B820" s="264">
        <v>41389</v>
      </c>
      <c r="C820" s="267">
        <v>353.5</v>
      </c>
      <c r="D820" s="267">
        <v>292.5</v>
      </c>
      <c r="E820" s="392">
        <v>312.5</v>
      </c>
      <c r="Z820" s="322">
        <v>41417</v>
      </c>
      <c r="AA820" s="324">
        <v>337.5</v>
      </c>
      <c r="AB820" s="323">
        <v>252.5</v>
      </c>
    </row>
    <row r="821" spans="1:28">
      <c r="A821" s="264">
        <v>41396</v>
      </c>
      <c r="B821" s="264">
        <v>41396</v>
      </c>
      <c r="C821" s="267">
        <v>347.5</v>
      </c>
      <c r="D821" s="267">
        <v>267.5</v>
      </c>
      <c r="E821" s="392">
        <v>300</v>
      </c>
      <c r="Z821" s="322">
        <v>41424</v>
      </c>
      <c r="AA821" s="324">
        <v>337.5</v>
      </c>
      <c r="AB821" s="323">
        <v>250.5</v>
      </c>
    </row>
    <row r="822" spans="1:28">
      <c r="A822" s="264">
        <v>41403</v>
      </c>
      <c r="B822" s="264">
        <v>41403</v>
      </c>
      <c r="C822" s="267">
        <v>342.5</v>
      </c>
      <c r="D822" s="267">
        <v>262.5</v>
      </c>
      <c r="E822" s="392">
        <v>300</v>
      </c>
      <c r="Z822" s="322">
        <v>41431</v>
      </c>
      <c r="AA822" s="324">
        <v>327.5</v>
      </c>
      <c r="AB822" s="323">
        <v>242.5</v>
      </c>
    </row>
    <row r="823" spans="1:28">
      <c r="A823" s="264">
        <v>41410</v>
      </c>
      <c r="B823" s="264">
        <v>41410</v>
      </c>
      <c r="C823" s="267">
        <v>340</v>
      </c>
      <c r="D823" s="267">
        <v>257.5</v>
      </c>
      <c r="E823" s="392">
        <v>297.5</v>
      </c>
      <c r="Z823" s="322">
        <v>41438</v>
      </c>
      <c r="AA823" s="324">
        <v>305</v>
      </c>
      <c r="AB823" s="323">
        <v>252.5</v>
      </c>
    </row>
    <row r="824" spans="1:28">
      <c r="A824" s="264">
        <v>41417</v>
      </c>
      <c r="B824" s="264">
        <v>41417</v>
      </c>
      <c r="C824" s="267">
        <v>337.5</v>
      </c>
      <c r="D824" s="267">
        <v>252.5</v>
      </c>
      <c r="E824" s="392">
        <v>295</v>
      </c>
      <c r="Z824" s="322">
        <v>41445</v>
      </c>
      <c r="AA824" s="324">
        <v>307.5</v>
      </c>
      <c r="AB824" s="323">
        <v>256.5</v>
      </c>
    </row>
    <row r="825" spans="1:28">
      <c r="A825" s="264">
        <v>41424</v>
      </c>
      <c r="B825" s="264">
        <v>41424</v>
      </c>
      <c r="C825" s="267">
        <v>337.5</v>
      </c>
      <c r="D825" s="267">
        <v>252.5</v>
      </c>
      <c r="E825" s="392">
        <v>295</v>
      </c>
      <c r="Z825" s="322">
        <v>41452</v>
      </c>
      <c r="AA825" s="324">
        <v>307.5</v>
      </c>
      <c r="AB825" s="323">
        <v>256.5</v>
      </c>
    </row>
    <row r="826" spans="1:28">
      <c r="A826" s="264">
        <v>41431</v>
      </c>
      <c r="B826" s="264">
        <v>41431</v>
      </c>
      <c r="C826" s="267">
        <v>327.5</v>
      </c>
      <c r="D826" s="267">
        <v>250.5</v>
      </c>
      <c r="E826" s="392">
        <v>270.5</v>
      </c>
      <c r="Z826" s="322">
        <v>41459</v>
      </c>
      <c r="AA826" s="324">
        <v>317.5</v>
      </c>
      <c r="AB826" s="323">
        <v>265</v>
      </c>
    </row>
    <row r="827" spans="1:28">
      <c r="A827" s="264">
        <v>41438</v>
      </c>
      <c r="B827" s="264">
        <v>41438</v>
      </c>
      <c r="C827" s="267">
        <v>305</v>
      </c>
      <c r="D827" s="267">
        <v>242.5</v>
      </c>
      <c r="E827" s="392">
        <v>267.5</v>
      </c>
      <c r="Z827" s="322">
        <v>41466</v>
      </c>
      <c r="AA827" s="324">
        <v>317.5</v>
      </c>
      <c r="AB827" s="323">
        <v>267.5</v>
      </c>
    </row>
    <row r="828" spans="1:28">
      <c r="A828" s="264">
        <v>41445</v>
      </c>
      <c r="B828" s="264">
        <v>41445</v>
      </c>
      <c r="C828" s="267">
        <v>307.5</v>
      </c>
      <c r="D828" s="267">
        <v>252.5</v>
      </c>
      <c r="E828" s="392">
        <v>267.5</v>
      </c>
      <c r="Z828" s="322">
        <v>41473</v>
      </c>
      <c r="AA828" s="324">
        <v>322.5</v>
      </c>
      <c r="AB828" s="323">
        <v>267.5</v>
      </c>
    </row>
    <row r="829" spans="1:28">
      <c r="A829" s="264">
        <v>41452</v>
      </c>
      <c r="B829" s="264">
        <v>41452</v>
      </c>
      <c r="C829" s="267">
        <v>307.5</v>
      </c>
      <c r="D829" s="267">
        <v>256.5</v>
      </c>
      <c r="E829" s="392">
        <v>267.5</v>
      </c>
      <c r="Z829" s="322">
        <v>41480</v>
      </c>
      <c r="AA829" s="324">
        <v>321.5</v>
      </c>
      <c r="AB829" s="323">
        <v>272.5</v>
      </c>
    </row>
    <row r="830" spans="1:28">
      <c r="A830" s="264">
        <v>41459</v>
      </c>
      <c r="B830" s="264">
        <v>41459</v>
      </c>
      <c r="C830" s="267">
        <v>317.5</v>
      </c>
      <c r="D830" s="267">
        <v>256.5</v>
      </c>
      <c r="E830" s="392">
        <v>235</v>
      </c>
      <c r="Z830" s="322">
        <v>41487</v>
      </c>
      <c r="AA830" s="324">
        <v>319</v>
      </c>
      <c r="AB830" s="323">
        <v>267.5</v>
      </c>
    </row>
    <row r="831" spans="1:28">
      <c r="A831" s="264">
        <v>41466</v>
      </c>
      <c r="B831" s="264">
        <v>41466</v>
      </c>
      <c r="C831" s="267">
        <v>317.5</v>
      </c>
      <c r="D831" s="267">
        <v>265</v>
      </c>
      <c r="E831" s="392">
        <v>237.5</v>
      </c>
      <c r="Z831" s="322">
        <v>41494</v>
      </c>
      <c r="AA831" s="324">
        <v>312.5</v>
      </c>
      <c r="AB831" s="323">
        <v>262.5</v>
      </c>
    </row>
    <row r="832" spans="1:28">
      <c r="A832" s="264">
        <v>41473</v>
      </c>
      <c r="B832" s="264">
        <v>41473</v>
      </c>
      <c r="C832" s="267">
        <v>322.5</v>
      </c>
      <c r="D832" s="267">
        <v>267.5</v>
      </c>
      <c r="E832" s="392">
        <v>240</v>
      </c>
      <c r="Z832" s="322">
        <v>41501</v>
      </c>
      <c r="AA832" s="324">
        <v>298.5</v>
      </c>
      <c r="AB832" s="323">
        <v>252.5</v>
      </c>
    </row>
    <row r="833" spans="1:28">
      <c r="A833" s="264">
        <v>41480</v>
      </c>
      <c r="B833" s="264">
        <v>41480</v>
      </c>
      <c r="C833" s="267">
        <v>321.5</v>
      </c>
      <c r="D833" s="267">
        <v>267.5</v>
      </c>
      <c r="E833" s="392">
        <v>237.5</v>
      </c>
      <c r="Z833" s="322">
        <v>41508</v>
      </c>
      <c r="AA833" s="324">
        <v>289.5</v>
      </c>
      <c r="AB833" s="323">
        <v>257.5</v>
      </c>
    </row>
    <row r="834" spans="1:28">
      <c r="A834" s="264">
        <v>41487</v>
      </c>
      <c r="B834" s="264">
        <v>41487</v>
      </c>
      <c r="C834" s="267">
        <v>319</v>
      </c>
      <c r="D834" s="267">
        <v>272.5</v>
      </c>
      <c r="E834" s="392">
        <v>240</v>
      </c>
      <c r="Z834" s="322">
        <v>41515</v>
      </c>
      <c r="AA834" s="324">
        <v>280.5</v>
      </c>
      <c r="AB834" s="323">
        <v>255</v>
      </c>
    </row>
    <row r="835" spans="1:28">
      <c r="A835" s="264">
        <v>41494</v>
      </c>
      <c r="B835" s="264">
        <v>41494</v>
      </c>
      <c r="C835" s="267">
        <v>312.5</v>
      </c>
      <c r="D835" s="267">
        <v>267.5</v>
      </c>
      <c r="E835" s="392">
        <v>240</v>
      </c>
      <c r="Z835" s="322">
        <v>41522</v>
      </c>
      <c r="AA835" s="324">
        <v>270.5</v>
      </c>
      <c r="AB835" s="323">
        <v>255</v>
      </c>
    </row>
    <row r="836" spans="1:28">
      <c r="A836" s="264">
        <v>41501</v>
      </c>
      <c r="B836" s="264">
        <v>41501</v>
      </c>
      <c r="C836" s="267">
        <v>298.5</v>
      </c>
      <c r="D836" s="267">
        <v>262.5</v>
      </c>
      <c r="E836" s="392">
        <v>240</v>
      </c>
      <c r="Z836" s="322">
        <v>41529</v>
      </c>
      <c r="AA836" s="324">
        <v>275</v>
      </c>
      <c r="AB836" s="323">
        <v>262.5</v>
      </c>
    </row>
    <row r="837" spans="1:28">
      <c r="A837" s="264">
        <v>41508</v>
      </c>
      <c r="B837" s="264">
        <v>41508</v>
      </c>
      <c r="C837" s="267">
        <v>289.5</v>
      </c>
      <c r="D837" s="267">
        <v>252.5</v>
      </c>
      <c r="E837" s="392">
        <v>240</v>
      </c>
      <c r="Z837" s="322">
        <v>41536</v>
      </c>
      <c r="AA837" s="324">
        <v>274</v>
      </c>
      <c r="AB837" s="323">
        <v>261.5</v>
      </c>
    </row>
    <row r="838" spans="1:28">
      <c r="A838" s="264">
        <v>41515</v>
      </c>
      <c r="B838" s="264">
        <v>41515</v>
      </c>
      <c r="C838" s="267">
        <v>280.5</v>
      </c>
      <c r="D838" s="267">
        <v>257.5</v>
      </c>
      <c r="E838" s="392">
        <v>240</v>
      </c>
      <c r="Z838" s="322">
        <v>41543</v>
      </c>
      <c r="AA838" s="324">
        <v>277.5</v>
      </c>
      <c r="AB838" s="323">
        <v>270.5</v>
      </c>
    </row>
    <row r="839" spans="1:28">
      <c r="A839" s="264">
        <v>41522</v>
      </c>
      <c r="B839" s="264">
        <v>41522</v>
      </c>
      <c r="C839" s="267">
        <v>270.5</v>
      </c>
      <c r="D839" s="267">
        <v>255</v>
      </c>
      <c r="E839" s="392">
        <v>237.5</v>
      </c>
      <c r="Z839" s="322">
        <v>41550</v>
      </c>
      <c r="AA839" s="324">
        <v>280</v>
      </c>
      <c r="AB839" s="323">
        <v>271.5</v>
      </c>
    </row>
    <row r="840" spans="1:28">
      <c r="A840" s="264">
        <v>41529</v>
      </c>
      <c r="B840" s="264">
        <v>41529</v>
      </c>
      <c r="C840" s="267">
        <v>275</v>
      </c>
      <c r="D840" s="267">
        <v>255</v>
      </c>
      <c r="E840" s="392">
        <v>237.5</v>
      </c>
      <c r="Z840" s="322">
        <v>41557</v>
      </c>
      <c r="AA840" s="324">
        <v>282.5</v>
      </c>
      <c r="AB840" s="323">
        <v>272.5</v>
      </c>
    </row>
    <row r="841" spans="1:28">
      <c r="A841" s="264">
        <v>41536</v>
      </c>
      <c r="B841" s="264">
        <v>41536</v>
      </c>
      <c r="C841" s="267">
        <v>274</v>
      </c>
      <c r="D841" s="267">
        <v>262.5</v>
      </c>
      <c r="E841" s="392">
        <v>232.5</v>
      </c>
      <c r="Z841" s="322">
        <v>41564</v>
      </c>
      <c r="AA841" s="324">
        <v>285.5</v>
      </c>
      <c r="AB841" s="323">
        <v>269.5</v>
      </c>
    </row>
    <row r="842" spans="1:28">
      <c r="A842" s="264">
        <v>41543</v>
      </c>
      <c r="B842" s="264">
        <v>41543</v>
      </c>
      <c r="C842" s="267">
        <v>277.5</v>
      </c>
      <c r="D842" s="267">
        <v>261.5</v>
      </c>
      <c r="E842" s="392">
        <v>227.5</v>
      </c>
      <c r="Z842" s="322">
        <v>41571</v>
      </c>
      <c r="AA842" s="324">
        <v>286</v>
      </c>
      <c r="AB842" s="323">
        <v>272</v>
      </c>
    </row>
    <row r="843" spans="1:28">
      <c r="A843" s="264">
        <v>41550</v>
      </c>
      <c r="B843" s="264">
        <v>41550</v>
      </c>
      <c r="C843" s="267">
        <v>280</v>
      </c>
      <c r="D843" s="267">
        <v>270.5</v>
      </c>
      <c r="E843" s="392">
        <v>212.5</v>
      </c>
      <c r="Z843" s="322">
        <v>41578</v>
      </c>
      <c r="AA843" s="324">
        <v>293</v>
      </c>
      <c r="AB843" s="323">
        <v>273</v>
      </c>
    </row>
    <row r="844" spans="1:28">
      <c r="A844" s="264">
        <v>41557</v>
      </c>
      <c r="B844" s="264">
        <v>41557</v>
      </c>
      <c r="C844" s="267">
        <v>282.5</v>
      </c>
      <c r="D844" s="267">
        <v>271.5</v>
      </c>
      <c r="E844" s="392">
        <v>212.5</v>
      </c>
      <c r="Z844" s="322">
        <v>41585</v>
      </c>
      <c r="AA844" s="324">
        <v>300.5</v>
      </c>
      <c r="AB844" s="323">
        <v>276.5</v>
      </c>
    </row>
    <row r="845" spans="1:28">
      <c r="A845" s="264">
        <v>41564</v>
      </c>
      <c r="B845" s="264">
        <v>41564</v>
      </c>
      <c r="C845" s="267">
        <v>285.5</v>
      </c>
      <c r="D845" s="267">
        <v>272.5</v>
      </c>
      <c r="E845" s="392">
        <v>212.5</v>
      </c>
      <c r="Z845" s="322">
        <v>41592</v>
      </c>
      <c r="AA845" s="324">
        <v>302.5</v>
      </c>
      <c r="AB845" s="323">
        <v>277.5</v>
      </c>
    </row>
    <row r="846" spans="1:28">
      <c r="A846" s="264">
        <v>41571</v>
      </c>
      <c r="B846" s="264">
        <v>41571</v>
      </c>
      <c r="C846" s="267">
        <v>286</v>
      </c>
      <c r="D846" s="267">
        <v>269.5</v>
      </c>
      <c r="E846" s="393">
        <v>212.5</v>
      </c>
      <c r="Z846" s="322">
        <v>41599</v>
      </c>
      <c r="AA846" s="324">
        <v>300</v>
      </c>
      <c r="AB846" s="323">
        <v>277.5</v>
      </c>
    </row>
    <row r="847" spans="1:28">
      <c r="A847" s="264">
        <v>41578</v>
      </c>
      <c r="B847" s="264">
        <v>41578</v>
      </c>
      <c r="C847" s="267">
        <v>293</v>
      </c>
      <c r="D847" s="267">
        <v>272</v>
      </c>
      <c r="E847" s="393">
        <v>212.5</v>
      </c>
      <c r="Z847" s="322">
        <v>41606</v>
      </c>
      <c r="AA847" s="324">
        <v>307.5</v>
      </c>
      <c r="AB847" s="323">
        <v>280.5</v>
      </c>
    </row>
    <row r="848" spans="1:28">
      <c r="A848" s="264">
        <v>41585</v>
      </c>
      <c r="B848" s="264">
        <v>41585</v>
      </c>
      <c r="C848" s="267">
        <v>300.5</v>
      </c>
      <c r="D848" s="267">
        <v>273</v>
      </c>
      <c r="E848" s="393">
        <v>212.5</v>
      </c>
      <c r="Z848" s="322">
        <v>41613</v>
      </c>
      <c r="AA848" s="324">
        <v>313</v>
      </c>
      <c r="AB848" s="323">
        <v>281.5</v>
      </c>
    </row>
    <row r="849" spans="1:28">
      <c r="A849" s="264">
        <v>41592</v>
      </c>
      <c r="B849" s="264">
        <v>41592</v>
      </c>
      <c r="C849" s="267">
        <v>302.5</v>
      </c>
      <c r="D849" s="267">
        <v>276.5</v>
      </c>
      <c r="E849" s="393">
        <v>212.5</v>
      </c>
      <c r="Z849" s="322">
        <v>41620</v>
      </c>
      <c r="AA849" s="324">
        <v>323</v>
      </c>
      <c r="AB849" s="323">
        <v>282.5</v>
      </c>
    </row>
    <row r="850" spans="1:28">
      <c r="A850" s="264">
        <v>41599</v>
      </c>
      <c r="B850" s="264">
        <v>41599</v>
      </c>
      <c r="C850" s="267">
        <v>300</v>
      </c>
      <c r="D850" s="267">
        <v>277.5</v>
      </c>
      <c r="E850" s="393">
        <v>213.5</v>
      </c>
      <c r="Z850" s="322">
        <v>41627</v>
      </c>
      <c r="AA850" s="324">
        <v>332.5</v>
      </c>
      <c r="AB850" s="323">
        <v>282.5</v>
      </c>
    </row>
    <row r="851" spans="1:28">
      <c r="A851" s="264">
        <v>41606</v>
      </c>
      <c r="B851" s="264">
        <v>41606</v>
      </c>
      <c r="C851" s="267">
        <v>307.5</v>
      </c>
      <c r="D851" s="267">
        <v>277.5</v>
      </c>
      <c r="E851" s="393">
        <v>213.5</v>
      </c>
      <c r="Z851" s="322">
        <v>41634</v>
      </c>
      <c r="AA851" s="324">
        <v>332.5</v>
      </c>
      <c r="AB851" s="323">
        <v>282.5</v>
      </c>
    </row>
    <row r="852" spans="1:28">
      <c r="A852" s="264">
        <v>41613</v>
      </c>
      <c r="B852" s="264">
        <v>41613</v>
      </c>
      <c r="C852" s="267">
        <v>313</v>
      </c>
      <c r="D852" s="267">
        <v>280.5</v>
      </c>
      <c r="E852" s="393">
        <v>216.75</v>
      </c>
      <c r="Z852" s="322">
        <v>41641</v>
      </c>
      <c r="AA852" s="324">
        <v>323.5</v>
      </c>
      <c r="AB852" s="323">
        <v>295</v>
      </c>
    </row>
    <row r="853" spans="1:28">
      <c r="A853" s="264">
        <v>41620</v>
      </c>
      <c r="B853" s="264">
        <v>41620</v>
      </c>
      <c r="C853" s="267">
        <v>323</v>
      </c>
      <c r="D853" s="267">
        <v>281.5</v>
      </c>
      <c r="E853" s="393">
        <v>214.5</v>
      </c>
      <c r="Z853" s="322">
        <v>41648</v>
      </c>
      <c r="AA853" s="324">
        <v>325</v>
      </c>
      <c r="AB853" s="323">
        <v>307.5</v>
      </c>
    </row>
    <row r="854" spans="1:28">
      <c r="A854" s="264">
        <v>41627</v>
      </c>
      <c r="B854" s="264">
        <v>41627</v>
      </c>
      <c r="C854" s="267">
        <v>332.5</v>
      </c>
      <c r="D854" s="267">
        <v>282.5</v>
      </c>
      <c r="E854" s="393">
        <v>214.5</v>
      </c>
      <c r="Z854" s="322">
        <v>41655</v>
      </c>
      <c r="AA854" s="324">
        <v>335</v>
      </c>
      <c r="AB854" s="323">
        <v>310</v>
      </c>
    </row>
    <row r="855" spans="1:28">
      <c r="A855" s="264">
        <v>41634</v>
      </c>
      <c r="B855" s="264">
        <v>41634</v>
      </c>
      <c r="C855" s="267">
        <v>332.5</v>
      </c>
      <c r="D855" s="267">
        <v>282.5</v>
      </c>
      <c r="E855" s="393">
        <v>214.5</v>
      </c>
      <c r="Z855" s="322">
        <v>41662</v>
      </c>
      <c r="AA855" s="324">
        <v>360</v>
      </c>
      <c r="AB855" s="323">
        <v>317.5</v>
      </c>
    </row>
    <row r="856" spans="1:28">
      <c r="A856" s="264">
        <v>41641</v>
      </c>
      <c r="B856" s="264">
        <v>41641</v>
      </c>
      <c r="C856" s="267">
        <v>323.5</v>
      </c>
      <c r="D856" s="267">
        <v>282.5</v>
      </c>
      <c r="E856" s="393">
        <v>214</v>
      </c>
      <c r="Z856" s="322">
        <v>41669</v>
      </c>
      <c r="AA856" s="324">
        <v>354</v>
      </c>
      <c r="AB856" s="323">
        <v>317.5</v>
      </c>
    </row>
    <row r="857" spans="1:28">
      <c r="A857" s="264">
        <v>41648</v>
      </c>
      <c r="B857" s="264">
        <v>41648</v>
      </c>
      <c r="C857" s="267">
        <v>325</v>
      </c>
      <c r="D857" s="267">
        <v>295</v>
      </c>
      <c r="E857" s="393">
        <v>214</v>
      </c>
      <c r="Z857" s="322">
        <v>41676</v>
      </c>
      <c r="AA857" s="324">
        <v>351.5</v>
      </c>
      <c r="AB857" s="323">
        <v>317.5</v>
      </c>
    </row>
    <row r="858" spans="1:28">
      <c r="A858" s="264">
        <v>41655</v>
      </c>
      <c r="B858" s="264">
        <v>41655</v>
      </c>
      <c r="C858" s="267">
        <v>335</v>
      </c>
      <c r="D858" s="267">
        <v>307.5</v>
      </c>
      <c r="E858" s="393">
        <v>235</v>
      </c>
      <c r="Z858" s="322">
        <v>41683</v>
      </c>
      <c r="AA858" s="324">
        <v>337.5</v>
      </c>
      <c r="AB858" s="323">
        <v>317.5</v>
      </c>
    </row>
    <row r="859" spans="1:28">
      <c r="A859" s="264">
        <v>41662</v>
      </c>
      <c r="B859" s="264">
        <v>41662</v>
      </c>
      <c r="C859" s="267">
        <v>360</v>
      </c>
      <c r="D859" s="267">
        <v>310</v>
      </c>
      <c r="E859" s="393">
        <v>235</v>
      </c>
      <c r="Z859" s="322">
        <v>41690</v>
      </c>
      <c r="AA859" s="324">
        <v>333</v>
      </c>
      <c r="AB859" s="323">
        <v>317.5</v>
      </c>
    </row>
    <row r="860" spans="1:28">
      <c r="A860" s="264">
        <v>41669</v>
      </c>
      <c r="B860" s="264">
        <v>41669</v>
      </c>
      <c r="C860" s="267">
        <v>354</v>
      </c>
      <c r="D860" s="267">
        <v>317.5</v>
      </c>
      <c r="E860" s="395">
        <v>252.5</v>
      </c>
      <c r="Z860" s="322">
        <v>41697</v>
      </c>
      <c r="AA860" s="324">
        <v>325</v>
      </c>
      <c r="AB860" s="323">
        <v>317.5</v>
      </c>
    </row>
    <row r="861" spans="1:28">
      <c r="A861" s="264">
        <v>41676</v>
      </c>
      <c r="B861" s="264">
        <v>41676</v>
      </c>
      <c r="C861" s="267">
        <v>351.5</v>
      </c>
      <c r="D861" s="267">
        <v>317.5</v>
      </c>
      <c r="E861" s="395">
        <v>252.5</v>
      </c>
      <c r="Z861" s="322">
        <v>41704</v>
      </c>
      <c r="AA861" s="324">
        <v>322.5</v>
      </c>
      <c r="AB861" s="323">
        <v>302.5</v>
      </c>
    </row>
    <row r="862" spans="1:28">
      <c r="A862" s="264">
        <v>41683</v>
      </c>
      <c r="B862" s="264">
        <v>41683</v>
      </c>
      <c r="C862" s="267">
        <v>337.5</v>
      </c>
      <c r="D862" s="267">
        <v>317.5</v>
      </c>
      <c r="E862" s="395">
        <v>263</v>
      </c>
      <c r="Z862" s="322">
        <v>41711</v>
      </c>
      <c r="AA862" s="324">
        <v>314.5</v>
      </c>
      <c r="AB862" s="323">
        <v>279</v>
      </c>
    </row>
    <row r="863" spans="1:28">
      <c r="A863" s="264">
        <v>41690</v>
      </c>
      <c r="B863" s="264">
        <v>41690</v>
      </c>
      <c r="C863" s="267">
        <v>333</v>
      </c>
      <c r="D863" s="267">
        <v>317.5</v>
      </c>
      <c r="E863" s="395">
        <v>263</v>
      </c>
      <c r="Z863" s="322">
        <v>41718</v>
      </c>
      <c r="AA863" s="324">
        <v>307.5</v>
      </c>
      <c r="AB863" s="323">
        <v>277.5</v>
      </c>
    </row>
    <row r="864" spans="1:28">
      <c r="A864" s="264">
        <v>41697</v>
      </c>
      <c r="B864" s="264">
        <v>41697</v>
      </c>
      <c r="C864" s="267">
        <v>325</v>
      </c>
      <c r="D864" s="267">
        <v>317.5</v>
      </c>
      <c r="E864" s="395">
        <v>282</v>
      </c>
      <c r="Z864" s="322">
        <v>41725</v>
      </c>
      <c r="AA864" s="324">
        <v>300</v>
      </c>
      <c r="AB864" s="323">
        <v>270</v>
      </c>
    </row>
    <row r="865" spans="1:28">
      <c r="A865" s="264">
        <v>41704</v>
      </c>
      <c r="B865" s="264">
        <v>41704</v>
      </c>
      <c r="C865" s="267">
        <v>322.5</v>
      </c>
      <c r="D865" s="267">
        <v>317.5</v>
      </c>
      <c r="E865" s="395">
        <v>282</v>
      </c>
      <c r="Z865" s="322">
        <v>41732</v>
      </c>
      <c r="AA865" s="324">
        <v>290</v>
      </c>
      <c r="AB865" s="323">
        <v>267.5</v>
      </c>
    </row>
    <row r="866" spans="1:28">
      <c r="A866" s="264">
        <v>41711</v>
      </c>
      <c r="B866" s="264">
        <v>41711</v>
      </c>
      <c r="C866" s="267">
        <v>314.5</v>
      </c>
      <c r="D866" s="267">
        <v>302.5</v>
      </c>
      <c r="E866" s="395">
        <v>282.5</v>
      </c>
      <c r="Z866" s="322">
        <v>41739</v>
      </c>
      <c r="AA866" s="324">
        <v>286.5</v>
      </c>
      <c r="AB866" s="323">
        <v>262.5</v>
      </c>
    </row>
    <row r="867" spans="1:28">
      <c r="A867" s="264">
        <v>41718</v>
      </c>
      <c r="B867" s="264">
        <v>41718</v>
      </c>
      <c r="C867" s="267">
        <v>307.5</v>
      </c>
      <c r="D867" s="267">
        <v>279</v>
      </c>
      <c r="E867" s="395">
        <v>282.5</v>
      </c>
      <c r="Z867" s="322">
        <v>41746</v>
      </c>
      <c r="AA867" s="324">
        <v>290.5</v>
      </c>
      <c r="AB867" s="323">
        <v>262.5</v>
      </c>
    </row>
    <row r="868" spans="1:28">
      <c r="A868" s="264">
        <v>41725</v>
      </c>
      <c r="B868" s="264">
        <v>41725</v>
      </c>
      <c r="C868" s="267">
        <v>300</v>
      </c>
      <c r="D868" s="267">
        <v>277.5</v>
      </c>
      <c r="E868" s="395">
        <v>282.5</v>
      </c>
      <c r="Z868" s="322">
        <v>41753</v>
      </c>
      <c r="AA868" s="324">
        <v>292.5</v>
      </c>
      <c r="AB868" s="323">
        <v>253.5</v>
      </c>
    </row>
    <row r="869" spans="1:28">
      <c r="A869" s="264">
        <v>41732</v>
      </c>
      <c r="B869" s="264">
        <v>41732</v>
      </c>
      <c r="C869" s="267">
        <v>290</v>
      </c>
      <c r="D869" s="267">
        <v>270</v>
      </c>
      <c r="E869" s="395">
        <v>280</v>
      </c>
      <c r="Z869" s="322">
        <v>41760</v>
      </c>
      <c r="AA869" s="324">
        <v>296.5</v>
      </c>
      <c r="AB869" s="323">
        <v>252.5</v>
      </c>
    </row>
    <row r="870" spans="1:28">
      <c r="A870" s="264">
        <v>41739</v>
      </c>
      <c r="B870" s="264">
        <v>41739</v>
      </c>
      <c r="C870" s="267">
        <v>286.5</v>
      </c>
      <c r="D870" s="267">
        <v>267.5</v>
      </c>
      <c r="E870" s="395">
        <v>280</v>
      </c>
      <c r="Z870" s="322">
        <v>41767</v>
      </c>
      <c r="AA870" s="324">
        <v>296.5</v>
      </c>
      <c r="AB870" s="323">
        <v>252.5</v>
      </c>
    </row>
    <row r="871" spans="1:28">
      <c r="A871" s="264">
        <v>41746</v>
      </c>
      <c r="B871" s="264">
        <v>41746</v>
      </c>
      <c r="C871" s="267">
        <v>290.5</v>
      </c>
      <c r="D871" s="267">
        <v>262.5</v>
      </c>
      <c r="E871" s="395">
        <v>272.5</v>
      </c>
      <c r="Z871" s="322">
        <v>41774</v>
      </c>
      <c r="AA871" s="324">
        <v>296.5</v>
      </c>
      <c r="AB871" s="323">
        <v>252.5</v>
      </c>
    </row>
    <row r="872" spans="1:28">
      <c r="A872" s="264">
        <v>41753</v>
      </c>
      <c r="B872" s="264">
        <v>41753</v>
      </c>
      <c r="C872" s="267">
        <v>292.5</v>
      </c>
      <c r="D872" s="267">
        <v>262.5</v>
      </c>
      <c r="E872" s="395">
        <v>267.5</v>
      </c>
      <c r="Z872" s="322">
        <v>41781</v>
      </c>
      <c r="AA872" s="324">
        <v>287.5</v>
      </c>
      <c r="AB872" s="323">
        <v>250</v>
      </c>
    </row>
    <row r="873" spans="1:28">
      <c r="A873" s="264">
        <v>41760</v>
      </c>
      <c r="B873" s="264">
        <v>41760</v>
      </c>
      <c r="C873" s="267">
        <v>296.5</v>
      </c>
      <c r="D873" s="267">
        <v>253.5</v>
      </c>
      <c r="E873" s="395">
        <v>267.5</v>
      </c>
      <c r="Z873" s="322">
        <v>41788</v>
      </c>
      <c r="AA873" s="324">
        <v>295</v>
      </c>
      <c r="AB873" s="323">
        <v>252.5</v>
      </c>
    </row>
    <row r="874" spans="1:28">
      <c r="A874" s="264">
        <v>41767</v>
      </c>
      <c r="B874" s="264">
        <v>41767</v>
      </c>
      <c r="C874" s="267">
        <v>296.5</v>
      </c>
      <c r="D874" s="267">
        <v>252.5</v>
      </c>
      <c r="E874" s="395">
        <v>267.5</v>
      </c>
      <c r="Z874" s="322">
        <v>41795</v>
      </c>
      <c r="AA874" s="324">
        <v>295</v>
      </c>
      <c r="AB874" s="323">
        <v>252.5</v>
      </c>
    </row>
    <row r="875" spans="1:28">
      <c r="A875" s="264">
        <v>41774</v>
      </c>
      <c r="B875" s="264">
        <v>41774</v>
      </c>
      <c r="C875" s="267">
        <v>296.5</v>
      </c>
      <c r="D875" s="267">
        <v>252.5</v>
      </c>
      <c r="E875" s="395">
        <v>267.5</v>
      </c>
      <c r="Z875" s="322">
        <v>41802</v>
      </c>
      <c r="AA875" s="324">
        <v>300</v>
      </c>
      <c r="AB875" s="323">
        <v>260</v>
      </c>
    </row>
    <row r="876" spans="1:28">
      <c r="A876" s="264">
        <v>41781</v>
      </c>
      <c r="B876" s="264">
        <v>41781</v>
      </c>
      <c r="C876" s="267">
        <v>287.5</v>
      </c>
      <c r="D876" s="267">
        <v>252.5</v>
      </c>
      <c r="E876" s="395">
        <v>245</v>
      </c>
      <c r="Z876" s="322">
        <v>41809</v>
      </c>
      <c r="AA876" s="324">
        <v>300</v>
      </c>
      <c r="AB876" s="323">
        <v>261.5</v>
      </c>
    </row>
    <row r="877" spans="1:28">
      <c r="A877" s="264">
        <v>41788</v>
      </c>
      <c r="B877" s="264">
        <v>41788</v>
      </c>
      <c r="C877" s="267">
        <v>295</v>
      </c>
      <c r="D877" s="267">
        <v>250</v>
      </c>
      <c r="E877" s="395">
        <v>250</v>
      </c>
      <c r="Z877" s="322">
        <v>41816</v>
      </c>
      <c r="AA877" s="324">
        <v>300</v>
      </c>
      <c r="AB877" s="323">
        <v>261.5</v>
      </c>
    </row>
    <row r="878" spans="1:28">
      <c r="A878" s="264">
        <v>41795</v>
      </c>
      <c r="B878" s="264">
        <v>41795</v>
      </c>
      <c r="C878" s="267">
        <v>295</v>
      </c>
      <c r="D878" s="267">
        <v>252.5</v>
      </c>
      <c r="E878" s="395">
        <v>250</v>
      </c>
      <c r="Z878" s="322">
        <v>41823</v>
      </c>
      <c r="AA878" s="324">
        <v>302.5</v>
      </c>
      <c r="AB878" s="323">
        <v>261.5</v>
      </c>
    </row>
    <row r="879" spans="1:28">
      <c r="A879" s="264">
        <v>41802</v>
      </c>
      <c r="B879" s="264">
        <v>41802</v>
      </c>
      <c r="C879" s="267">
        <v>300</v>
      </c>
      <c r="D879" s="267">
        <v>252.5</v>
      </c>
      <c r="E879" s="395">
        <v>237.5</v>
      </c>
      <c r="Z879" s="322">
        <v>41830</v>
      </c>
      <c r="AA879" s="324">
        <v>301.5</v>
      </c>
      <c r="AB879" s="323">
        <v>261.5</v>
      </c>
    </row>
    <row r="880" spans="1:28">
      <c r="A880" s="264">
        <v>41809</v>
      </c>
      <c r="B880" s="264">
        <v>41809</v>
      </c>
      <c r="C880" s="267">
        <v>300</v>
      </c>
      <c r="D880" s="267">
        <v>260</v>
      </c>
      <c r="E880" s="395">
        <v>230</v>
      </c>
      <c r="Z880" s="322">
        <v>41837</v>
      </c>
      <c r="AA880" s="324">
        <v>292.5</v>
      </c>
      <c r="AB880" s="323">
        <v>261.5</v>
      </c>
    </row>
    <row r="881" spans="1:28">
      <c r="A881" s="264">
        <v>41816</v>
      </c>
      <c r="B881" s="264">
        <v>41816</v>
      </c>
      <c r="C881" s="267">
        <v>300</v>
      </c>
      <c r="D881" s="267">
        <v>261.5</v>
      </c>
      <c r="E881" s="395">
        <v>230</v>
      </c>
      <c r="Z881" s="322">
        <v>41844</v>
      </c>
      <c r="AA881" s="324">
        <v>295</v>
      </c>
      <c r="AB881" s="323">
        <v>270</v>
      </c>
    </row>
    <row r="882" spans="1:28">
      <c r="A882" s="264">
        <v>41823</v>
      </c>
      <c r="B882" s="264">
        <v>41823</v>
      </c>
      <c r="C882" s="267">
        <v>302.5</v>
      </c>
      <c r="D882" s="267">
        <v>261.5</v>
      </c>
      <c r="E882" s="395">
        <v>202.5</v>
      </c>
      <c r="Z882" s="322">
        <v>41851</v>
      </c>
      <c r="AA882" s="324">
        <v>305</v>
      </c>
      <c r="AB882" s="323">
        <v>270</v>
      </c>
    </row>
    <row r="883" spans="1:28">
      <c r="A883" s="264">
        <v>41830</v>
      </c>
      <c r="B883" s="264">
        <v>41830</v>
      </c>
      <c r="C883" s="267">
        <v>301.5</v>
      </c>
      <c r="D883" s="267">
        <v>261.5</v>
      </c>
      <c r="E883" s="395">
        <v>217.5</v>
      </c>
      <c r="Z883" s="322">
        <v>41858</v>
      </c>
      <c r="AA883" s="324">
        <v>307.5</v>
      </c>
      <c r="AB883" s="323">
        <v>270</v>
      </c>
    </row>
    <row r="884" spans="1:28">
      <c r="A884" s="264">
        <v>41837</v>
      </c>
      <c r="B884" s="264">
        <v>41837</v>
      </c>
      <c r="C884" s="267">
        <v>292.5</v>
      </c>
      <c r="D884" s="267">
        <v>261.5</v>
      </c>
      <c r="E884" s="395">
        <v>218.5</v>
      </c>
      <c r="Z884" s="322">
        <v>41865</v>
      </c>
      <c r="AA884" s="324">
        <v>310.5</v>
      </c>
      <c r="AB884" s="323">
        <v>274.5</v>
      </c>
    </row>
    <row r="885" spans="1:28">
      <c r="A885" s="264">
        <v>41844</v>
      </c>
      <c r="B885" s="264">
        <v>41844</v>
      </c>
      <c r="C885" s="267">
        <v>295</v>
      </c>
      <c r="D885" s="267">
        <v>261.5</v>
      </c>
      <c r="E885" s="395">
        <v>218.5</v>
      </c>
      <c r="Z885" s="322">
        <v>41872</v>
      </c>
      <c r="AA885" s="324">
        <v>323.5</v>
      </c>
      <c r="AB885" s="323">
        <v>283</v>
      </c>
    </row>
    <row r="886" spans="1:28">
      <c r="A886" s="264">
        <v>41851</v>
      </c>
      <c r="B886" s="264">
        <v>41851</v>
      </c>
      <c r="C886" s="267">
        <v>305</v>
      </c>
      <c r="D886" s="267">
        <v>270</v>
      </c>
      <c r="E886" s="393">
        <v>218.5</v>
      </c>
      <c r="Z886" s="322">
        <v>41879</v>
      </c>
      <c r="AA886" s="324">
        <v>329.5</v>
      </c>
      <c r="AB886" s="323">
        <v>284</v>
      </c>
    </row>
    <row r="887" spans="1:28">
      <c r="A887" s="264">
        <v>41858</v>
      </c>
      <c r="B887" s="264">
        <v>41858</v>
      </c>
      <c r="C887" s="267">
        <v>307.5</v>
      </c>
      <c r="D887" s="267">
        <v>270</v>
      </c>
      <c r="E887" s="393">
        <v>218.5</v>
      </c>
      <c r="Z887" s="322">
        <v>41886</v>
      </c>
      <c r="AA887" s="324">
        <v>332.5</v>
      </c>
      <c r="AB887" s="323">
        <v>284</v>
      </c>
    </row>
    <row r="888" spans="1:28">
      <c r="A888" s="264">
        <v>41865</v>
      </c>
      <c r="B888" s="264">
        <v>41865</v>
      </c>
      <c r="C888" s="267">
        <v>310.5</v>
      </c>
      <c r="D888" s="267">
        <v>270</v>
      </c>
      <c r="E888" s="393">
        <v>223.5</v>
      </c>
      <c r="Z888" s="322">
        <v>41893</v>
      </c>
      <c r="AA888" s="324">
        <v>330</v>
      </c>
      <c r="AB888" s="323">
        <v>285</v>
      </c>
    </row>
    <row r="889" spans="1:28">
      <c r="A889" s="264">
        <v>41872</v>
      </c>
      <c r="B889" s="264">
        <v>41872</v>
      </c>
      <c r="C889" s="267">
        <v>323.5</v>
      </c>
      <c r="D889" s="267">
        <v>274.5</v>
      </c>
      <c r="E889" s="393">
        <v>227.5</v>
      </c>
      <c r="Z889" s="322">
        <v>41900</v>
      </c>
      <c r="AA889" s="324">
        <v>327.5</v>
      </c>
      <c r="AB889" s="323">
        <v>280</v>
      </c>
    </row>
    <row r="890" spans="1:28">
      <c r="A890" s="264">
        <v>41879</v>
      </c>
      <c r="B890" s="264">
        <v>41879</v>
      </c>
      <c r="C890" s="267">
        <v>329.5</v>
      </c>
      <c r="D890" s="267">
        <v>283</v>
      </c>
      <c r="E890" s="393">
        <v>228.5</v>
      </c>
      <c r="Z890" s="322">
        <v>41907</v>
      </c>
      <c r="AA890" s="324">
        <v>320</v>
      </c>
      <c r="AB890" s="323">
        <v>280</v>
      </c>
    </row>
    <row r="891" spans="1:28">
      <c r="A891" s="264">
        <v>41886</v>
      </c>
      <c r="B891" s="264">
        <v>41886</v>
      </c>
      <c r="C891" s="267">
        <v>332.5</v>
      </c>
      <c r="D891" s="267">
        <v>284</v>
      </c>
      <c r="E891" s="393">
        <v>228.5</v>
      </c>
      <c r="Z891" s="322">
        <v>41914</v>
      </c>
      <c r="AA891" s="324">
        <v>320</v>
      </c>
      <c r="AB891" s="323">
        <v>280</v>
      </c>
    </row>
    <row r="892" spans="1:28">
      <c r="A892" s="264">
        <v>41893</v>
      </c>
      <c r="B892" s="264">
        <v>41893</v>
      </c>
      <c r="C892" s="267">
        <v>330</v>
      </c>
      <c r="D892" s="267">
        <v>284</v>
      </c>
      <c r="E892" s="393">
        <v>228.5</v>
      </c>
      <c r="Z892" s="322">
        <v>41921</v>
      </c>
      <c r="AA892" s="324">
        <v>320</v>
      </c>
      <c r="AB892" s="323">
        <v>277.5</v>
      </c>
    </row>
    <row r="893" spans="1:28">
      <c r="A893" s="264">
        <v>41900</v>
      </c>
      <c r="B893" s="264">
        <v>41900</v>
      </c>
      <c r="C893" s="267">
        <v>327.5</v>
      </c>
      <c r="D893" s="267">
        <v>285</v>
      </c>
      <c r="E893" s="393">
        <v>219</v>
      </c>
      <c r="Z893" s="322">
        <v>41928</v>
      </c>
      <c r="AA893" s="324">
        <v>320</v>
      </c>
      <c r="AB893" s="323">
        <v>278.5</v>
      </c>
    </row>
    <row r="894" spans="1:28">
      <c r="A894" s="264">
        <v>41907</v>
      </c>
      <c r="B894" s="264">
        <v>41907</v>
      </c>
      <c r="C894" s="267">
        <v>320</v>
      </c>
      <c r="D894" s="267">
        <v>280</v>
      </c>
      <c r="E894" s="393">
        <v>226</v>
      </c>
      <c r="Z894" s="322">
        <v>41935</v>
      </c>
      <c r="AA894" s="324">
        <v>317.5</v>
      </c>
      <c r="AB894" s="323">
        <v>277</v>
      </c>
    </row>
    <row r="895" spans="1:28">
      <c r="A895" s="264">
        <v>41914</v>
      </c>
      <c r="B895" s="264">
        <v>41914</v>
      </c>
      <c r="C895" s="267">
        <v>320</v>
      </c>
      <c r="D895" s="267">
        <v>280</v>
      </c>
      <c r="E895" s="393">
        <v>226</v>
      </c>
      <c r="Z895" s="322">
        <v>41942</v>
      </c>
      <c r="AA895" s="324">
        <v>317.5</v>
      </c>
      <c r="AB895" s="323">
        <v>277</v>
      </c>
    </row>
    <row r="896" spans="1:28">
      <c r="A896" s="264">
        <v>41921</v>
      </c>
      <c r="B896" s="264">
        <v>41921</v>
      </c>
      <c r="C896" s="267">
        <v>320</v>
      </c>
      <c r="D896" s="267">
        <v>280</v>
      </c>
      <c r="E896" s="393">
        <v>226</v>
      </c>
      <c r="Z896" s="322">
        <v>41949</v>
      </c>
      <c r="AA896" s="324">
        <v>312</v>
      </c>
      <c r="AB896" s="323">
        <v>278</v>
      </c>
    </row>
    <row r="897" spans="1:28">
      <c r="A897" s="264">
        <v>41928</v>
      </c>
      <c r="B897" s="264">
        <v>41928</v>
      </c>
      <c r="C897" s="267">
        <v>320</v>
      </c>
      <c r="D897" s="267">
        <v>277.5</v>
      </c>
      <c r="E897" s="393">
        <v>232.5</v>
      </c>
      <c r="Z897" s="322">
        <v>41956</v>
      </c>
      <c r="AA897" s="324">
        <v>312</v>
      </c>
      <c r="AB897" s="323">
        <v>277.5</v>
      </c>
    </row>
    <row r="898" spans="1:28">
      <c r="A898" s="264">
        <v>41935</v>
      </c>
      <c r="B898" s="264">
        <v>41935</v>
      </c>
      <c r="C898" s="267">
        <v>317.5</v>
      </c>
      <c r="D898" s="267">
        <v>278.5</v>
      </c>
      <c r="E898" s="393">
        <v>232.5</v>
      </c>
      <c r="Z898" s="322">
        <v>41963</v>
      </c>
      <c r="AA898" s="324">
        <v>306.5</v>
      </c>
      <c r="AB898" s="323">
        <v>277.5</v>
      </c>
    </row>
    <row r="899" spans="1:28">
      <c r="A899" s="264">
        <v>41942</v>
      </c>
      <c r="B899" s="264">
        <v>41942</v>
      </c>
      <c r="C899" s="267">
        <v>317.5</v>
      </c>
      <c r="D899" s="267">
        <v>277</v>
      </c>
      <c r="E899" s="393">
        <v>232.5</v>
      </c>
      <c r="Z899" s="322">
        <v>41970</v>
      </c>
      <c r="AA899" s="324">
        <v>302.5</v>
      </c>
      <c r="AB899" s="323">
        <v>281.5</v>
      </c>
    </row>
    <row r="900" spans="1:28">
      <c r="A900" s="264">
        <v>41949</v>
      </c>
      <c r="B900" s="264">
        <v>41949</v>
      </c>
      <c r="C900" s="267">
        <v>312</v>
      </c>
      <c r="D900" s="267">
        <v>277</v>
      </c>
      <c r="E900" s="393">
        <v>232.5</v>
      </c>
      <c r="Z900" s="322">
        <v>41977</v>
      </c>
      <c r="AA900" s="324">
        <v>300</v>
      </c>
      <c r="AB900" s="323">
        <v>284.5</v>
      </c>
    </row>
    <row r="901" spans="1:28">
      <c r="A901" s="264">
        <v>41956</v>
      </c>
      <c r="B901" s="264">
        <v>41956</v>
      </c>
      <c r="C901" s="267">
        <v>312</v>
      </c>
      <c r="D901" s="267">
        <v>278</v>
      </c>
      <c r="E901" s="393">
        <v>233</v>
      </c>
      <c r="Z901" s="322">
        <v>41984</v>
      </c>
      <c r="AA901" s="324">
        <v>305</v>
      </c>
      <c r="AB901" s="323">
        <v>284.5</v>
      </c>
    </row>
    <row r="902" spans="1:28">
      <c r="A902" s="264">
        <v>41963</v>
      </c>
      <c r="B902" s="264">
        <v>41963</v>
      </c>
      <c r="C902" s="267">
        <v>306.5</v>
      </c>
      <c r="D902" s="267">
        <v>277.5</v>
      </c>
      <c r="E902" s="393">
        <v>221.5</v>
      </c>
      <c r="Z902" s="322">
        <v>41991</v>
      </c>
      <c r="AA902" s="324">
        <v>315</v>
      </c>
      <c r="AB902" s="323">
        <v>284.5</v>
      </c>
    </row>
    <row r="903" spans="1:28">
      <c r="A903" s="264">
        <v>41970</v>
      </c>
      <c r="B903" s="264">
        <v>41970</v>
      </c>
      <c r="C903" s="267">
        <v>302.5</v>
      </c>
      <c r="D903" s="267">
        <v>277.5</v>
      </c>
      <c r="E903" s="393">
        <v>227.5</v>
      </c>
      <c r="Z903" s="322">
        <v>41998</v>
      </c>
      <c r="AA903" s="324">
        <v>315</v>
      </c>
      <c r="AB903" s="323">
        <v>282.5</v>
      </c>
    </row>
    <row r="904" spans="1:28">
      <c r="A904" s="264">
        <v>41977</v>
      </c>
      <c r="B904" s="264">
        <v>41977</v>
      </c>
      <c r="C904" s="267">
        <v>300</v>
      </c>
      <c r="D904" s="267">
        <v>281.5</v>
      </c>
      <c r="E904" s="393">
        <v>227.5</v>
      </c>
      <c r="Z904" s="322">
        <v>42012</v>
      </c>
      <c r="AA904" s="324">
        <v>317.5</v>
      </c>
      <c r="AB904" s="323">
        <v>284.5</v>
      </c>
    </row>
    <row r="905" spans="1:28">
      <c r="A905" s="264">
        <v>41984</v>
      </c>
      <c r="B905" s="264">
        <v>41984</v>
      </c>
      <c r="C905" s="267">
        <v>305</v>
      </c>
      <c r="D905" s="267">
        <v>284.5</v>
      </c>
      <c r="E905" s="393">
        <v>227.5</v>
      </c>
      <c r="Z905" s="322">
        <v>42019</v>
      </c>
      <c r="AA905" s="324">
        <v>312.5</v>
      </c>
      <c r="AB905" s="323">
        <v>285.5</v>
      </c>
    </row>
    <row r="906" spans="1:28">
      <c r="A906" s="264">
        <v>41991</v>
      </c>
      <c r="B906" s="264">
        <v>41991</v>
      </c>
      <c r="C906" s="267">
        <v>315</v>
      </c>
      <c r="D906" s="267">
        <v>284.5</v>
      </c>
      <c r="E906" s="393">
        <v>233.5</v>
      </c>
      <c r="Z906" s="322">
        <v>42026</v>
      </c>
      <c r="AA906" s="324">
        <v>312.5</v>
      </c>
      <c r="AB906" s="323">
        <v>282.5</v>
      </c>
    </row>
    <row r="907" spans="1:28">
      <c r="A907" s="264">
        <v>41998</v>
      </c>
      <c r="B907" s="264">
        <v>41998</v>
      </c>
      <c r="C907" s="267">
        <v>315</v>
      </c>
      <c r="D907" s="267">
        <v>284.5</v>
      </c>
      <c r="E907" s="393">
        <v>233.5</v>
      </c>
      <c r="Z907" s="322">
        <v>42033</v>
      </c>
      <c r="AA907" s="324">
        <v>302.5</v>
      </c>
      <c r="AB907" s="323">
        <v>282.5</v>
      </c>
    </row>
    <row r="908" spans="1:28">
      <c r="A908" s="264">
        <v>42012</v>
      </c>
      <c r="B908" s="264">
        <v>42012</v>
      </c>
      <c r="C908" s="267">
        <v>317.5</v>
      </c>
      <c r="D908" s="267">
        <v>282.5</v>
      </c>
      <c r="E908" s="393">
        <v>233.5</v>
      </c>
      <c r="Z908" s="322">
        <v>42040</v>
      </c>
      <c r="AA908" s="324">
        <v>302.5</v>
      </c>
      <c r="AB908" s="323">
        <v>282</v>
      </c>
    </row>
    <row r="909" spans="1:28">
      <c r="A909" s="264">
        <v>42019</v>
      </c>
      <c r="B909" s="264">
        <v>42019</v>
      </c>
      <c r="C909" s="267">
        <v>312.5</v>
      </c>
      <c r="D909" s="267">
        <v>284.5</v>
      </c>
      <c r="E909" s="393">
        <v>241</v>
      </c>
      <c r="Z909" s="322">
        <v>42047</v>
      </c>
      <c r="AA909" s="324">
        <v>296</v>
      </c>
      <c r="AB909" s="323">
        <v>280</v>
      </c>
    </row>
    <row r="910" spans="1:28">
      <c r="A910" s="264">
        <v>42026</v>
      </c>
      <c r="B910" s="264">
        <v>42026</v>
      </c>
      <c r="C910" s="267">
        <v>312.5</v>
      </c>
      <c r="D910" s="267">
        <v>285.5</v>
      </c>
      <c r="E910" s="393">
        <v>248.5</v>
      </c>
      <c r="Z910" s="322">
        <v>42054</v>
      </c>
      <c r="AA910" s="324">
        <v>291</v>
      </c>
      <c r="AB910" s="323">
        <v>272.5</v>
      </c>
    </row>
    <row r="911" spans="1:28">
      <c r="A911" s="264">
        <v>42033</v>
      </c>
      <c r="B911" s="264">
        <v>42033</v>
      </c>
      <c r="C911" s="267">
        <v>302.5</v>
      </c>
      <c r="D911" s="267">
        <v>282.5</v>
      </c>
      <c r="E911" s="393">
        <v>252.5</v>
      </c>
      <c r="Z911" s="322">
        <v>42061</v>
      </c>
      <c r="AA911" s="324">
        <v>284.5</v>
      </c>
      <c r="AB911" s="323">
        <v>272.5</v>
      </c>
    </row>
    <row r="912" spans="1:28">
      <c r="A912" s="264">
        <v>42040</v>
      </c>
      <c r="B912" s="264">
        <v>42040</v>
      </c>
      <c r="C912" s="267">
        <v>302.5</v>
      </c>
      <c r="D912" s="267">
        <v>282.5</v>
      </c>
      <c r="E912" s="393">
        <v>252.5</v>
      </c>
      <c r="Z912" s="322">
        <v>42068</v>
      </c>
      <c r="AA912" s="324">
        <v>275.5</v>
      </c>
      <c r="AB912" s="323">
        <v>260</v>
      </c>
    </row>
    <row r="913" spans="1:28">
      <c r="A913" s="264">
        <v>42047</v>
      </c>
      <c r="B913" s="264">
        <v>42047</v>
      </c>
      <c r="C913" s="267">
        <v>296</v>
      </c>
      <c r="D913" s="267">
        <v>282</v>
      </c>
      <c r="E913" s="393">
        <v>257</v>
      </c>
      <c r="Z913" s="322">
        <v>42075</v>
      </c>
      <c r="AA913" s="324">
        <v>270.5</v>
      </c>
      <c r="AB913" s="323">
        <v>252.5</v>
      </c>
    </row>
    <row r="914" spans="1:28">
      <c r="A914" s="264">
        <v>42054</v>
      </c>
      <c r="B914" s="264">
        <v>42054</v>
      </c>
      <c r="C914" s="267">
        <v>291</v>
      </c>
      <c r="D914" s="267">
        <v>280</v>
      </c>
      <c r="E914" s="393">
        <v>257</v>
      </c>
      <c r="Z914" s="322">
        <v>42082</v>
      </c>
      <c r="AA914" s="324">
        <v>260.5</v>
      </c>
      <c r="AB914" s="323">
        <v>250.5</v>
      </c>
    </row>
    <row r="915" spans="1:28">
      <c r="A915" s="264">
        <v>42061</v>
      </c>
      <c r="B915" s="264">
        <v>42061</v>
      </c>
      <c r="C915" s="267">
        <v>284.5</v>
      </c>
      <c r="D915" s="267">
        <v>272.5</v>
      </c>
      <c r="E915" s="393">
        <v>257</v>
      </c>
      <c r="Z915" s="322">
        <v>42089</v>
      </c>
      <c r="AA915" s="324">
        <v>260.5</v>
      </c>
      <c r="AB915" s="323">
        <v>250.5</v>
      </c>
    </row>
    <row r="916" spans="1:28">
      <c r="A916" s="264">
        <v>42068</v>
      </c>
      <c r="B916" s="264">
        <v>42068</v>
      </c>
      <c r="C916" s="267">
        <v>275.5</v>
      </c>
      <c r="D916" s="267">
        <v>272.5</v>
      </c>
      <c r="E916" s="393">
        <v>257</v>
      </c>
      <c r="Z916" s="322">
        <v>42096</v>
      </c>
      <c r="AA916" s="324">
        <v>257.5</v>
      </c>
      <c r="AB916" s="323">
        <v>233</v>
      </c>
    </row>
    <row r="917" spans="1:28">
      <c r="A917" s="264">
        <v>42075</v>
      </c>
      <c r="B917" s="264">
        <v>42075</v>
      </c>
      <c r="C917" s="267">
        <v>270.5</v>
      </c>
      <c r="D917" s="267">
        <v>260</v>
      </c>
      <c r="E917" s="393">
        <v>257</v>
      </c>
      <c r="Z917" s="322">
        <v>42103</v>
      </c>
      <c r="AA917" s="324">
        <v>249.5</v>
      </c>
      <c r="AB917" s="323">
        <v>220</v>
      </c>
    </row>
    <row r="918" spans="1:28">
      <c r="A918" s="264">
        <v>42082</v>
      </c>
      <c r="B918" s="264">
        <v>42082</v>
      </c>
      <c r="C918" s="267">
        <v>260.5</v>
      </c>
      <c r="D918" s="267">
        <v>252.5</v>
      </c>
      <c r="E918" s="393">
        <v>250.5</v>
      </c>
      <c r="Z918" s="322">
        <v>42110</v>
      </c>
      <c r="AA918" s="324">
        <v>247.5</v>
      </c>
      <c r="AB918" s="323">
        <v>215.5</v>
      </c>
    </row>
    <row r="919" spans="1:28">
      <c r="A919" s="264">
        <v>42089</v>
      </c>
      <c r="B919" s="264">
        <v>42089</v>
      </c>
      <c r="C919" s="267">
        <v>260.5</v>
      </c>
      <c r="D919" s="267">
        <v>250.5</v>
      </c>
      <c r="E919" s="393">
        <v>249</v>
      </c>
      <c r="Z919" s="322">
        <v>42117</v>
      </c>
      <c r="AA919" s="324">
        <v>250.5</v>
      </c>
      <c r="AB919" s="323">
        <v>202.5</v>
      </c>
    </row>
    <row r="920" spans="1:28">
      <c r="A920" s="264">
        <v>42096</v>
      </c>
      <c r="B920" s="264">
        <v>42096</v>
      </c>
      <c r="C920" s="267">
        <v>257.5</v>
      </c>
      <c r="D920" s="267">
        <v>250.5</v>
      </c>
      <c r="E920" s="393">
        <v>249</v>
      </c>
      <c r="Z920" s="322">
        <v>42124</v>
      </c>
      <c r="AA920" s="324">
        <v>260</v>
      </c>
      <c r="AB920" s="323">
        <v>202.5</v>
      </c>
    </row>
    <row r="921" spans="1:28">
      <c r="A921" s="264">
        <v>42103</v>
      </c>
      <c r="B921" s="264">
        <v>42103</v>
      </c>
      <c r="C921" s="267">
        <v>249.5</v>
      </c>
      <c r="D921" s="267">
        <v>233</v>
      </c>
      <c r="E921" s="393">
        <v>245</v>
      </c>
      <c r="Z921" s="322">
        <v>42131</v>
      </c>
      <c r="AA921" s="324">
        <v>268</v>
      </c>
      <c r="AB921" s="323">
        <v>205</v>
      </c>
    </row>
    <row r="922" spans="1:28">
      <c r="A922" s="264">
        <v>42110</v>
      </c>
      <c r="B922" s="264">
        <v>42110</v>
      </c>
      <c r="C922" s="267">
        <v>247.5</v>
      </c>
      <c r="D922" s="267">
        <v>220</v>
      </c>
      <c r="E922" s="393">
        <v>245</v>
      </c>
      <c r="Z922" s="322">
        <v>42138</v>
      </c>
      <c r="AA922" s="324">
        <v>275.5</v>
      </c>
      <c r="AB922" s="323">
        <v>207.5</v>
      </c>
    </row>
    <row r="923" spans="1:28">
      <c r="A923" s="264">
        <v>42117</v>
      </c>
      <c r="B923" s="264">
        <v>42117</v>
      </c>
      <c r="C923" s="267">
        <v>250.5</v>
      </c>
      <c r="D923" s="267">
        <v>215.5</v>
      </c>
      <c r="E923" s="393">
        <v>234.5</v>
      </c>
      <c r="Z923" s="322">
        <v>42145</v>
      </c>
      <c r="AA923" s="324">
        <v>280.5</v>
      </c>
      <c r="AB923" s="323">
        <v>206.5</v>
      </c>
    </row>
    <row r="924" spans="1:28">
      <c r="A924" s="264">
        <v>42124</v>
      </c>
      <c r="B924" s="264">
        <v>42124</v>
      </c>
      <c r="C924" s="267">
        <v>260</v>
      </c>
      <c r="D924" s="267">
        <v>202.5</v>
      </c>
      <c r="E924" s="393">
        <v>228</v>
      </c>
      <c r="Z924" s="322">
        <v>42152</v>
      </c>
      <c r="AA924" s="324">
        <v>282.5</v>
      </c>
      <c r="AB924" s="323">
        <v>205.5</v>
      </c>
    </row>
    <row r="925" spans="1:28">
      <c r="A925" s="264">
        <v>42131</v>
      </c>
      <c r="B925" s="264">
        <v>42131</v>
      </c>
      <c r="C925" s="267">
        <v>268</v>
      </c>
      <c r="D925" s="267">
        <v>202.5</v>
      </c>
      <c r="E925" s="393">
        <v>228</v>
      </c>
      <c r="Z925" s="322">
        <v>42159</v>
      </c>
      <c r="AA925" s="324">
        <v>290.5</v>
      </c>
      <c r="AB925" s="323">
        <v>205.5</v>
      </c>
    </row>
    <row r="926" spans="1:28">
      <c r="A926" s="264">
        <v>42138</v>
      </c>
      <c r="B926" s="264">
        <v>42138</v>
      </c>
      <c r="C926" s="267">
        <v>275.5</v>
      </c>
      <c r="D926" s="267">
        <v>205</v>
      </c>
      <c r="E926" s="393">
        <v>212.5</v>
      </c>
      <c r="Z926" s="322">
        <v>42166</v>
      </c>
      <c r="AA926" s="324">
        <v>288</v>
      </c>
      <c r="AB926" s="323">
        <v>209</v>
      </c>
    </row>
    <row r="927" spans="1:28">
      <c r="A927" s="264">
        <v>42145</v>
      </c>
      <c r="B927" s="264">
        <v>42145</v>
      </c>
      <c r="C927" s="267">
        <v>280.5</v>
      </c>
      <c r="D927" s="267">
        <v>207.5</v>
      </c>
      <c r="E927" s="393">
        <v>202.5</v>
      </c>
      <c r="Z927" s="322">
        <v>42173</v>
      </c>
      <c r="AA927" s="324">
        <v>287.5</v>
      </c>
      <c r="AB927" s="323">
        <v>202.5</v>
      </c>
    </row>
    <row r="928" spans="1:28">
      <c r="A928" s="264">
        <v>42152</v>
      </c>
      <c r="B928" s="264">
        <v>42152</v>
      </c>
      <c r="C928" s="267">
        <v>282.5</v>
      </c>
      <c r="D928" s="267">
        <v>206.5</v>
      </c>
      <c r="E928" s="393">
        <v>191</v>
      </c>
      <c r="Z928" s="322">
        <v>42180</v>
      </c>
      <c r="AA928" s="324">
        <v>286.5</v>
      </c>
      <c r="AB928" s="323">
        <v>202.5</v>
      </c>
    </row>
    <row r="929" spans="1:28">
      <c r="A929" s="264">
        <v>42159</v>
      </c>
      <c r="B929" s="264">
        <v>42159</v>
      </c>
      <c r="C929" s="267">
        <v>290.5</v>
      </c>
      <c r="D929" s="267">
        <v>205.5</v>
      </c>
      <c r="E929" s="393">
        <v>207</v>
      </c>
      <c r="Z929" s="322">
        <v>42187</v>
      </c>
      <c r="AA929" s="324">
        <v>282.5</v>
      </c>
      <c r="AB929" s="323">
        <v>197.5</v>
      </c>
    </row>
    <row r="930" spans="1:28">
      <c r="A930" s="264">
        <v>42166</v>
      </c>
      <c r="B930" s="264">
        <v>42166</v>
      </c>
      <c r="C930" s="267">
        <v>288</v>
      </c>
      <c r="D930" s="267">
        <v>205.5</v>
      </c>
      <c r="E930" s="393">
        <v>200.5</v>
      </c>
      <c r="Z930" s="322">
        <v>42194</v>
      </c>
      <c r="AA930" s="324">
        <v>279.5</v>
      </c>
      <c r="AB930" s="323">
        <v>192.5</v>
      </c>
    </row>
    <row r="931" spans="1:28">
      <c r="A931" s="264">
        <v>42173</v>
      </c>
      <c r="B931" s="264">
        <v>42173</v>
      </c>
      <c r="C931" s="267">
        <v>287.5</v>
      </c>
      <c r="D931" s="267">
        <v>209</v>
      </c>
      <c r="E931" s="393">
        <v>180</v>
      </c>
      <c r="Z931" s="322">
        <v>42201</v>
      </c>
      <c r="AA931" s="324">
        <v>267.5</v>
      </c>
      <c r="AB931" s="323">
        <v>189.5</v>
      </c>
    </row>
    <row r="932" spans="1:28">
      <c r="A932" s="264">
        <v>42180</v>
      </c>
      <c r="B932" s="264">
        <v>42180</v>
      </c>
      <c r="C932" s="267">
        <v>286.5</v>
      </c>
      <c r="D932" s="267">
        <v>202.5</v>
      </c>
      <c r="E932" s="393">
        <v>182.5</v>
      </c>
      <c r="Z932" s="322">
        <v>42208</v>
      </c>
      <c r="AA932" s="324">
        <v>265.5</v>
      </c>
      <c r="AB932" s="323">
        <v>185.5</v>
      </c>
    </row>
    <row r="933" spans="1:28">
      <c r="A933" s="264">
        <v>42187</v>
      </c>
      <c r="B933" s="264">
        <v>42187</v>
      </c>
      <c r="C933" s="267">
        <v>282.5</v>
      </c>
      <c r="D933" s="267">
        <v>202.5</v>
      </c>
      <c r="E933" s="393">
        <v>182.5</v>
      </c>
      <c r="Z933" s="322">
        <v>42215</v>
      </c>
      <c r="AA933" s="324">
        <v>261.5</v>
      </c>
      <c r="AB933" s="323">
        <v>188</v>
      </c>
    </row>
    <row r="934" spans="1:28">
      <c r="A934" s="264">
        <v>42194</v>
      </c>
      <c r="B934" s="264">
        <v>42194</v>
      </c>
      <c r="C934" s="267">
        <v>279.5</v>
      </c>
      <c r="D934" s="267">
        <v>197.5</v>
      </c>
      <c r="E934" s="393">
        <v>182.5</v>
      </c>
      <c r="Z934" s="322">
        <v>42222</v>
      </c>
      <c r="AA934" s="324">
        <v>267.5</v>
      </c>
      <c r="AB934" s="323">
        <v>190</v>
      </c>
    </row>
    <row r="935" spans="1:28">
      <c r="A935" s="264">
        <v>42201</v>
      </c>
      <c r="B935" s="264">
        <v>42201</v>
      </c>
      <c r="C935" s="267">
        <v>267.5</v>
      </c>
      <c r="D935" s="267">
        <v>192.5</v>
      </c>
      <c r="E935" s="393">
        <v>192.5</v>
      </c>
      <c r="Z935" s="322">
        <v>42229</v>
      </c>
      <c r="AA935" s="324">
        <v>273</v>
      </c>
      <c r="AB935" s="323">
        <v>197.5</v>
      </c>
    </row>
    <row r="936" spans="1:28">
      <c r="A936" s="264">
        <v>42208</v>
      </c>
      <c r="B936" s="264">
        <v>42208</v>
      </c>
      <c r="C936" s="267">
        <v>265.5</v>
      </c>
      <c r="D936" s="267">
        <v>189.5</v>
      </c>
      <c r="E936" s="393">
        <v>192.5</v>
      </c>
      <c r="Z936" s="322">
        <v>42236</v>
      </c>
      <c r="AA936" s="324">
        <v>270.5</v>
      </c>
      <c r="AB936" s="323">
        <v>202</v>
      </c>
    </row>
    <row r="937" spans="1:28">
      <c r="A937" s="264">
        <v>42215</v>
      </c>
      <c r="B937" s="264">
        <v>42215</v>
      </c>
      <c r="C937" s="267">
        <v>261.5</v>
      </c>
      <c r="D937" s="267">
        <v>185.5</v>
      </c>
      <c r="E937" s="393">
        <v>192.5</v>
      </c>
      <c r="Z937" s="322">
        <v>42243</v>
      </c>
      <c r="AA937" s="324">
        <v>269</v>
      </c>
      <c r="AB937" s="323">
        <v>195.5</v>
      </c>
    </row>
    <row r="938" spans="1:28">
      <c r="A938" s="264">
        <v>42222</v>
      </c>
      <c r="B938" s="264">
        <v>42222</v>
      </c>
      <c r="C938" s="267">
        <v>267.5</v>
      </c>
      <c r="D938" s="267">
        <v>188</v>
      </c>
      <c r="E938" s="393">
        <v>192.5</v>
      </c>
      <c r="Z938" s="322">
        <v>42250</v>
      </c>
      <c r="AA938" s="324">
        <v>263.5</v>
      </c>
      <c r="AB938" s="323">
        <v>194.5</v>
      </c>
    </row>
    <row r="939" spans="1:28">
      <c r="A939" s="264">
        <v>42229</v>
      </c>
      <c r="B939" s="264">
        <v>42229</v>
      </c>
      <c r="C939" s="267">
        <v>273</v>
      </c>
      <c r="D939" s="267">
        <v>190</v>
      </c>
      <c r="E939" s="393">
        <v>192.5</v>
      </c>
      <c r="Z939" s="322">
        <v>42257</v>
      </c>
      <c r="AA939" s="324">
        <v>260</v>
      </c>
      <c r="AB939" s="323">
        <v>192.5</v>
      </c>
    </row>
    <row r="940" spans="1:28">
      <c r="A940" s="264">
        <v>42236</v>
      </c>
      <c r="B940" s="264">
        <v>42236</v>
      </c>
      <c r="C940" s="267">
        <v>270.5</v>
      </c>
      <c r="D940" s="267">
        <v>197.5</v>
      </c>
      <c r="E940" s="393">
        <v>187.5</v>
      </c>
      <c r="Z940" s="322">
        <v>42264</v>
      </c>
      <c r="AA940" s="324">
        <v>252.5</v>
      </c>
      <c r="AB940" s="323">
        <v>190.5</v>
      </c>
    </row>
    <row r="941" spans="1:28">
      <c r="A941" s="264">
        <v>42243</v>
      </c>
      <c r="B941" s="264">
        <v>42243</v>
      </c>
      <c r="C941" s="267">
        <v>269</v>
      </c>
      <c r="D941" s="267">
        <v>202</v>
      </c>
      <c r="E941" s="393">
        <v>187.5</v>
      </c>
      <c r="Z941" s="322">
        <v>42271</v>
      </c>
      <c r="AA941" s="324">
        <v>245</v>
      </c>
      <c r="AB941" s="323">
        <v>187.5</v>
      </c>
    </row>
    <row r="942" spans="1:28">
      <c r="A942" s="264">
        <v>42250</v>
      </c>
      <c r="B942" s="264">
        <v>42250</v>
      </c>
      <c r="C942" s="267">
        <v>263.5</v>
      </c>
      <c r="D942" s="267">
        <v>195.5</v>
      </c>
      <c r="E942" s="393">
        <v>182.5</v>
      </c>
      <c r="Z942" s="322">
        <v>42278</v>
      </c>
      <c r="AA942" s="324">
        <v>244</v>
      </c>
      <c r="AB942" s="323">
        <v>183.5</v>
      </c>
    </row>
    <row r="943" spans="1:28">
      <c r="A943" s="264">
        <v>42257</v>
      </c>
      <c r="B943" s="264">
        <v>42257</v>
      </c>
      <c r="C943" s="267">
        <v>260</v>
      </c>
      <c r="D943" s="267">
        <v>194.5</v>
      </c>
      <c r="E943" s="393">
        <v>177.5</v>
      </c>
      <c r="Z943" s="322">
        <v>42285</v>
      </c>
      <c r="AA943" s="324">
        <v>245.5</v>
      </c>
      <c r="AB943" s="323">
        <v>190</v>
      </c>
    </row>
    <row r="944" spans="1:28">
      <c r="A944" s="264">
        <v>42264</v>
      </c>
      <c r="B944" s="264">
        <v>42264</v>
      </c>
      <c r="C944" s="267">
        <v>252.5</v>
      </c>
      <c r="D944" s="267">
        <v>192.5</v>
      </c>
      <c r="E944" s="393">
        <v>180</v>
      </c>
      <c r="Z944" s="322">
        <v>42292</v>
      </c>
      <c r="AA944" s="324">
        <v>248.5</v>
      </c>
      <c r="AB944" s="323">
        <v>194.5</v>
      </c>
    </row>
    <row r="945" spans="1:28">
      <c r="A945" s="264">
        <v>42271</v>
      </c>
      <c r="B945" s="264">
        <v>42271</v>
      </c>
      <c r="C945" s="267">
        <v>245</v>
      </c>
      <c r="D945" s="267">
        <v>190.5</v>
      </c>
      <c r="E945" s="393">
        <v>179</v>
      </c>
      <c r="Z945" s="322">
        <v>42299</v>
      </c>
      <c r="AA945" s="324">
        <v>251.5</v>
      </c>
      <c r="AB945" s="323">
        <v>203.5</v>
      </c>
    </row>
    <row r="946" spans="1:28">
      <c r="A946" s="264">
        <v>42278</v>
      </c>
      <c r="B946" s="264">
        <v>42278</v>
      </c>
      <c r="C946" s="267">
        <v>244</v>
      </c>
      <c r="D946" s="267">
        <v>187.5</v>
      </c>
      <c r="E946" s="393">
        <v>175</v>
      </c>
      <c r="Z946" s="322">
        <v>42306</v>
      </c>
      <c r="AA946" s="324">
        <v>257.5</v>
      </c>
      <c r="AB946" s="323">
        <v>210</v>
      </c>
    </row>
    <row r="947" spans="1:28">
      <c r="A947" s="264">
        <v>42285</v>
      </c>
      <c r="B947" s="264">
        <v>42285</v>
      </c>
      <c r="C947" s="267">
        <v>245.5</v>
      </c>
      <c r="D947" s="267">
        <v>183.5</v>
      </c>
      <c r="E947" s="393">
        <v>175</v>
      </c>
      <c r="Z947" s="322">
        <v>42313</v>
      </c>
      <c r="AA947" s="324">
        <v>260</v>
      </c>
      <c r="AB947" s="323">
        <v>205</v>
      </c>
    </row>
    <row r="948" spans="1:28">
      <c r="A948" s="264">
        <v>42292</v>
      </c>
      <c r="B948" s="264">
        <v>42292</v>
      </c>
      <c r="C948" s="267">
        <v>248.5</v>
      </c>
      <c r="D948" s="267">
        <v>190</v>
      </c>
      <c r="E948" s="393">
        <v>181</v>
      </c>
      <c r="Z948" s="322">
        <v>42320</v>
      </c>
      <c r="AA948" s="324">
        <v>260.5</v>
      </c>
      <c r="AB948" s="323">
        <v>200</v>
      </c>
    </row>
    <row r="949" spans="1:28">
      <c r="A949" s="264">
        <v>42299</v>
      </c>
      <c r="B949" s="264">
        <v>42299</v>
      </c>
      <c r="C949" s="267">
        <v>251.5</v>
      </c>
      <c r="D949" s="267">
        <v>194.5</v>
      </c>
      <c r="E949" s="393">
        <v>178.5</v>
      </c>
      <c r="Z949" s="322">
        <v>42327</v>
      </c>
      <c r="AA949" s="324">
        <v>255.5</v>
      </c>
      <c r="AB949" s="323">
        <v>200</v>
      </c>
    </row>
    <row r="950" spans="1:28">
      <c r="A950" s="264">
        <v>42306</v>
      </c>
      <c r="B950" s="264">
        <v>42306</v>
      </c>
      <c r="C950" s="267">
        <v>257.5</v>
      </c>
      <c r="D950" s="267">
        <v>203.5</v>
      </c>
      <c r="E950" s="393">
        <v>172.5</v>
      </c>
      <c r="Z950" s="322">
        <v>42334</v>
      </c>
      <c r="AA950" s="324">
        <v>246</v>
      </c>
      <c r="AB950" s="323">
        <v>197.5</v>
      </c>
    </row>
    <row r="951" spans="1:28">
      <c r="A951" s="264">
        <v>42313</v>
      </c>
      <c r="B951" s="264">
        <v>42313</v>
      </c>
      <c r="C951" s="267">
        <v>260</v>
      </c>
      <c r="D951" s="267">
        <v>210</v>
      </c>
      <c r="E951" s="393">
        <v>171</v>
      </c>
      <c r="Z951" s="322">
        <v>42341</v>
      </c>
      <c r="AA951" s="324">
        <v>237.5</v>
      </c>
      <c r="AB951" s="323">
        <v>198</v>
      </c>
    </row>
    <row r="952" spans="1:28">
      <c r="A952" s="264">
        <v>42320</v>
      </c>
      <c r="B952" s="264">
        <v>42320</v>
      </c>
      <c r="C952" s="267">
        <v>260.5</v>
      </c>
      <c r="D952" s="267">
        <v>205</v>
      </c>
      <c r="E952" s="393">
        <v>166</v>
      </c>
      <c r="Z952" s="322">
        <v>42348</v>
      </c>
      <c r="AA952" s="324">
        <v>239</v>
      </c>
      <c r="AB952" s="323">
        <v>201.5</v>
      </c>
    </row>
    <row r="953" spans="1:28">
      <c r="A953" s="264">
        <v>42327</v>
      </c>
      <c r="B953" s="264">
        <v>42327</v>
      </c>
      <c r="C953" s="267">
        <v>255.5</v>
      </c>
      <c r="D953" s="267">
        <v>200</v>
      </c>
      <c r="E953" s="393">
        <v>166</v>
      </c>
      <c r="Z953" s="322">
        <v>42355</v>
      </c>
      <c r="AA953" s="324">
        <v>234.5</v>
      </c>
      <c r="AB953" s="323">
        <v>200.5</v>
      </c>
    </row>
    <row r="954" spans="1:28">
      <c r="A954" s="264">
        <v>42334</v>
      </c>
      <c r="B954" s="264">
        <v>42334</v>
      </c>
      <c r="C954" s="267">
        <v>246</v>
      </c>
      <c r="D954" s="267">
        <v>200</v>
      </c>
      <c r="E954" s="393">
        <v>166</v>
      </c>
      <c r="Z954" s="322">
        <v>42362</v>
      </c>
      <c r="AA954" s="324">
        <v>231.5</v>
      </c>
      <c r="AB954" s="323">
        <v>200.5</v>
      </c>
    </row>
    <row r="955" spans="1:28">
      <c r="A955" s="264">
        <v>42341</v>
      </c>
      <c r="B955" s="264">
        <v>42341</v>
      </c>
      <c r="C955" s="267">
        <v>237.5</v>
      </c>
      <c r="D955" s="267">
        <v>197.5</v>
      </c>
      <c r="E955" s="393">
        <v>166</v>
      </c>
      <c r="Z955" s="322">
        <v>42369</v>
      </c>
      <c r="AA955" s="324">
        <v>231.5</v>
      </c>
      <c r="AB955" s="323">
        <v>197.5</v>
      </c>
    </row>
    <row r="956" spans="1:28">
      <c r="A956" s="264">
        <v>42348</v>
      </c>
      <c r="B956" s="264">
        <v>42348</v>
      </c>
      <c r="C956" s="267">
        <v>239</v>
      </c>
      <c r="D956" s="267">
        <v>198</v>
      </c>
      <c r="E956" s="393">
        <v>164.5</v>
      </c>
      <c r="Z956" s="322">
        <v>42376</v>
      </c>
      <c r="AA956" s="324">
        <v>226.5</v>
      </c>
      <c r="AB956" s="323">
        <v>195</v>
      </c>
    </row>
    <row r="957" spans="1:28">
      <c r="A957" s="264">
        <v>42355</v>
      </c>
      <c r="B957" s="264">
        <v>42355</v>
      </c>
      <c r="C957" s="267">
        <v>234.5</v>
      </c>
      <c r="D957" s="267">
        <v>201.5</v>
      </c>
      <c r="E957" s="393">
        <v>158.5</v>
      </c>
      <c r="Z957" s="322">
        <v>42383</v>
      </c>
      <c r="AA957" s="324">
        <v>219.5</v>
      </c>
      <c r="AB957" s="323">
        <v>190</v>
      </c>
    </row>
    <row r="958" spans="1:28">
      <c r="A958" s="264">
        <v>42362</v>
      </c>
      <c r="B958" s="264">
        <v>42362</v>
      </c>
      <c r="C958" s="267">
        <v>231.5</v>
      </c>
      <c r="D958" s="267">
        <v>200.5</v>
      </c>
      <c r="E958" s="393">
        <v>158.5</v>
      </c>
      <c r="Z958" s="322">
        <v>42390</v>
      </c>
      <c r="AA958" s="324">
        <v>206</v>
      </c>
      <c r="AB958" s="323">
        <v>185</v>
      </c>
    </row>
    <row r="959" spans="1:28">
      <c r="A959" s="264">
        <v>42369</v>
      </c>
      <c r="B959" s="264">
        <v>42369</v>
      </c>
      <c r="C959" s="267">
        <v>231.5</v>
      </c>
      <c r="D959" s="267">
        <v>200.5</v>
      </c>
      <c r="E959" s="393">
        <v>158.5</v>
      </c>
      <c r="Z959" s="322">
        <v>42397</v>
      </c>
      <c r="AA959" s="324">
        <v>184</v>
      </c>
      <c r="AB959" s="323">
        <v>182.5</v>
      </c>
    </row>
    <row r="960" spans="1:28">
      <c r="A960" s="264">
        <v>42376</v>
      </c>
      <c r="B960" s="264">
        <v>42376</v>
      </c>
      <c r="C960" s="267">
        <v>226.5</v>
      </c>
      <c r="D960" s="267">
        <v>197.5</v>
      </c>
      <c r="E960" s="393">
        <v>158.5</v>
      </c>
      <c r="Z960" s="322">
        <v>42404</v>
      </c>
      <c r="AA960" s="324">
        <v>190.5</v>
      </c>
      <c r="AB960" s="323">
        <v>177.5</v>
      </c>
    </row>
    <row r="961" spans="1:28">
      <c r="A961" s="264">
        <v>42383</v>
      </c>
      <c r="B961" s="264">
        <v>42383</v>
      </c>
      <c r="C961" s="267">
        <v>219.5</v>
      </c>
      <c r="D961" s="267">
        <v>195</v>
      </c>
      <c r="E961" s="393">
        <v>156</v>
      </c>
      <c r="Z961" s="322">
        <v>42411</v>
      </c>
      <c r="AA961" s="324">
        <v>190.5</v>
      </c>
      <c r="AB961" s="323">
        <v>180</v>
      </c>
    </row>
    <row r="962" spans="1:28">
      <c r="A962" s="264">
        <v>42390</v>
      </c>
      <c r="B962" s="264">
        <v>42390</v>
      </c>
      <c r="C962" s="267">
        <v>206</v>
      </c>
      <c r="D962" s="267">
        <v>190</v>
      </c>
      <c r="E962" s="393">
        <v>147</v>
      </c>
      <c r="Z962" s="322">
        <v>42418</v>
      </c>
      <c r="AA962" s="324">
        <v>202.5</v>
      </c>
      <c r="AB962" s="323">
        <v>180</v>
      </c>
    </row>
    <row r="963" spans="1:28">
      <c r="A963" s="264">
        <v>42397</v>
      </c>
      <c r="B963" s="264">
        <v>42397</v>
      </c>
      <c r="C963" s="267">
        <v>184</v>
      </c>
      <c r="D963" s="267">
        <v>185</v>
      </c>
      <c r="E963" s="393">
        <v>146</v>
      </c>
      <c r="Z963" s="322">
        <v>42425</v>
      </c>
      <c r="AA963" s="324">
        <v>210.5</v>
      </c>
      <c r="AB963" s="323">
        <v>180</v>
      </c>
    </row>
    <row r="964" spans="1:28">
      <c r="A964" s="264">
        <v>42404</v>
      </c>
      <c r="B964" s="264">
        <v>42404</v>
      </c>
      <c r="C964" s="267">
        <v>190.5</v>
      </c>
      <c r="D964" s="267">
        <v>182.5</v>
      </c>
      <c r="E964" s="393">
        <v>141.5</v>
      </c>
      <c r="Z964" s="322">
        <v>42432</v>
      </c>
      <c r="AA964" s="324">
        <v>205.5</v>
      </c>
      <c r="AB964" s="323">
        <v>177.5</v>
      </c>
    </row>
    <row r="965" spans="1:28">
      <c r="A965" s="264">
        <v>42411</v>
      </c>
      <c r="B965" s="264">
        <v>42411</v>
      </c>
      <c r="C965" s="267">
        <v>190.5</v>
      </c>
      <c r="D965" s="267">
        <v>177.5</v>
      </c>
      <c r="E965" s="393">
        <v>141.5</v>
      </c>
      <c r="Z965" s="322">
        <v>42439</v>
      </c>
      <c r="AA965" s="324">
        <v>196</v>
      </c>
      <c r="AB965" s="323">
        <v>172.5</v>
      </c>
    </row>
    <row r="966" spans="1:28">
      <c r="A966" s="264">
        <v>42418</v>
      </c>
      <c r="B966" s="264">
        <v>42418</v>
      </c>
      <c r="C966" s="267">
        <v>202.5</v>
      </c>
      <c r="D966" s="267">
        <v>180</v>
      </c>
      <c r="E966" s="393">
        <v>131</v>
      </c>
      <c r="Z966" s="322">
        <v>42446</v>
      </c>
      <c r="AA966" s="324">
        <v>186.5</v>
      </c>
      <c r="AB966" s="323">
        <v>172.5</v>
      </c>
    </row>
    <row r="967" spans="1:28">
      <c r="A967" s="264">
        <v>42425</v>
      </c>
      <c r="B967" s="264">
        <v>42425</v>
      </c>
      <c r="C967" s="267">
        <v>210.5</v>
      </c>
      <c r="D967" s="267">
        <v>180</v>
      </c>
      <c r="E967" s="393">
        <v>130.5</v>
      </c>
      <c r="Z967" s="322">
        <v>42453</v>
      </c>
      <c r="AA967" s="324">
        <v>186.5</v>
      </c>
      <c r="AB967" s="323">
        <v>172.5</v>
      </c>
    </row>
    <row r="968" spans="1:28">
      <c r="A968" s="264">
        <v>42432</v>
      </c>
      <c r="B968" s="264">
        <v>42432</v>
      </c>
      <c r="C968" s="267">
        <v>205.5</v>
      </c>
      <c r="D968" s="267">
        <v>180</v>
      </c>
      <c r="E968" s="393">
        <v>127</v>
      </c>
      <c r="Z968" s="322">
        <v>42460</v>
      </c>
      <c r="AA968" s="324">
        <v>193.5</v>
      </c>
      <c r="AB968" s="323">
        <v>172.5</v>
      </c>
    </row>
    <row r="969" spans="1:28">
      <c r="A969" s="264">
        <v>42439</v>
      </c>
      <c r="B969" s="264">
        <v>42439</v>
      </c>
      <c r="C969" s="267">
        <v>196</v>
      </c>
      <c r="D969" s="267">
        <v>177.5</v>
      </c>
      <c r="E969" s="393">
        <v>133.5</v>
      </c>
      <c r="Z969" s="322">
        <v>42467</v>
      </c>
      <c r="AA969" s="324">
        <v>197.5</v>
      </c>
      <c r="AB969" s="323">
        <v>172.5</v>
      </c>
    </row>
    <row r="970" spans="1:28">
      <c r="A970" s="264">
        <v>42446</v>
      </c>
      <c r="B970" s="264">
        <v>42446</v>
      </c>
      <c r="C970" s="267">
        <v>186.5</v>
      </c>
      <c r="D970" s="267">
        <v>172.5</v>
      </c>
      <c r="E970" s="393">
        <v>151</v>
      </c>
      <c r="Z970" s="322">
        <v>42474</v>
      </c>
      <c r="AA970" s="324">
        <v>200</v>
      </c>
      <c r="AB970" s="323">
        <v>166</v>
      </c>
    </row>
    <row r="971" spans="1:28">
      <c r="A971" s="264">
        <v>42453</v>
      </c>
      <c r="B971" s="264">
        <v>42453</v>
      </c>
      <c r="C971" s="267">
        <v>186.5</v>
      </c>
      <c r="D971" s="267">
        <v>172.5</v>
      </c>
      <c r="E971" s="393">
        <v>158.5</v>
      </c>
      <c r="Z971" s="322">
        <v>42481</v>
      </c>
      <c r="AA971" s="324">
        <v>202</v>
      </c>
      <c r="AB971" s="323">
        <v>162.5</v>
      </c>
    </row>
    <row r="972" spans="1:28">
      <c r="A972" s="264">
        <v>42460</v>
      </c>
      <c r="B972" s="264">
        <v>42460</v>
      </c>
      <c r="C972" s="267">
        <v>193.5</v>
      </c>
      <c r="D972" s="267">
        <v>172.5</v>
      </c>
      <c r="E972" s="393">
        <v>171.5</v>
      </c>
      <c r="Z972" s="322">
        <v>42488</v>
      </c>
      <c r="AA972" s="324">
        <v>201.5</v>
      </c>
      <c r="AB972" s="323">
        <v>152.5</v>
      </c>
    </row>
    <row r="973" spans="1:28">
      <c r="A973" s="264">
        <v>42467</v>
      </c>
      <c r="B973" s="264">
        <v>42467</v>
      </c>
      <c r="C973" s="267">
        <v>197.5</v>
      </c>
      <c r="D973" s="267">
        <v>172.5</v>
      </c>
      <c r="E973" s="393">
        <v>181</v>
      </c>
      <c r="Z973" s="322">
        <v>42495</v>
      </c>
      <c r="AA973" s="324">
        <v>198.5</v>
      </c>
      <c r="AB973" s="323">
        <v>150.5</v>
      </c>
    </row>
    <row r="974" spans="1:28">
      <c r="A974" s="264">
        <v>42474</v>
      </c>
      <c r="B974" s="264">
        <v>42474</v>
      </c>
      <c r="C974" s="267">
        <v>200</v>
      </c>
      <c r="D974" s="267">
        <v>172.5</v>
      </c>
      <c r="E974" s="393">
        <v>184.5</v>
      </c>
      <c r="Z974" s="322">
        <v>42502</v>
      </c>
      <c r="AA974" s="324">
        <v>196.5</v>
      </c>
      <c r="AB974" s="323">
        <v>147.5</v>
      </c>
    </row>
    <row r="975" spans="1:28">
      <c r="A975" s="264">
        <v>42481</v>
      </c>
      <c r="B975" s="264">
        <v>42481</v>
      </c>
      <c r="C975" s="267">
        <v>202</v>
      </c>
      <c r="D975" s="267">
        <v>166</v>
      </c>
      <c r="E975" s="393">
        <v>183.5</v>
      </c>
      <c r="Z975" s="322">
        <v>42509</v>
      </c>
      <c r="AA975" s="324">
        <v>195.5</v>
      </c>
      <c r="AB975" s="323">
        <v>147.5</v>
      </c>
    </row>
    <row r="976" spans="1:28">
      <c r="A976" s="264">
        <v>42488</v>
      </c>
      <c r="B976" s="264">
        <v>42488</v>
      </c>
      <c r="C976" s="267">
        <v>201.5</v>
      </c>
      <c r="D976" s="267">
        <v>162.5</v>
      </c>
      <c r="E976" s="393">
        <v>183.5</v>
      </c>
      <c r="Z976" s="322">
        <v>42516</v>
      </c>
      <c r="AA976" s="324">
        <v>187.5</v>
      </c>
      <c r="AB976" s="323">
        <v>147.5</v>
      </c>
    </row>
    <row r="977" spans="1:28">
      <c r="A977" s="264">
        <v>42495</v>
      </c>
      <c r="B977" s="264">
        <v>42495</v>
      </c>
      <c r="C977" s="267">
        <v>198.5</v>
      </c>
      <c r="D977" s="267">
        <v>152.5</v>
      </c>
      <c r="E977" s="393">
        <v>173.5</v>
      </c>
      <c r="Z977" s="322">
        <v>42523</v>
      </c>
      <c r="AA977" s="324">
        <v>190.5</v>
      </c>
      <c r="AB977" s="323">
        <v>140.5</v>
      </c>
    </row>
    <row r="978" spans="1:28">
      <c r="A978" s="264">
        <v>42502</v>
      </c>
      <c r="B978" s="264">
        <v>42502</v>
      </c>
      <c r="C978" s="267">
        <v>196.5</v>
      </c>
      <c r="D978" s="267">
        <v>150.5</v>
      </c>
      <c r="E978" s="393">
        <v>173.5</v>
      </c>
      <c r="Z978" s="322">
        <v>42530</v>
      </c>
      <c r="AA978" s="324">
        <v>191</v>
      </c>
      <c r="AB978" s="323">
        <v>139.5</v>
      </c>
    </row>
    <row r="979" spans="1:28">
      <c r="A979" s="264">
        <v>42509</v>
      </c>
      <c r="B979" s="264">
        <v>42509</v>
      </c>
      <c r="C979" s="267">
        <v>195.5</v>
      </c>
      <c r="D979" s="267">
        <v>147.5</v>
      </c>
      <c r="E979" s="393">
        <v>160.5</v>
      </c>
      <c r="Z979" s="322">
        <v>42537</v>
      </c>
      <c r="AA979" s="324">
        <v>190.5</v>
      </c>
      <c r="AB979" s="323">
        <v>138.5</v>
      </c>
    </row>
    <row r="980" spans="1:28">
      <c r="A980" s="264">
        <v>42516</v>
      </c>
      <c r="B980" s="264">
        <v>42516</v>
      </c>
      <c r="C980" s="267">
        <v>187.5</v>
      </c>
      <c r="D980" s="267">
        <v>147.5</v>
      </c>
      <c r="E980" s="393">
        <v>160.5</v>
      </c>
      <c r="Z980" s="322">
        <v>42544</v>
      </c>
      <c r="AA980" s="324">
        <v>186</v>
      </c>
      <c r="AB980" s="323">
        <v>134.5</v>
      </c>
    </row>
    <row r="981" spans="1:28">
      <c r="A981" s="264">
        <v>42523</v>
      </c>
      <c r="B981" s="264">
        <v>42523</v>
      </c>
      <c r="C981" s="267">
        <v>190.5</v>
      </c>
      <c r="D981" s="267">
        <v>147.5</v>
      </c>
      <c r="E981" s="393">
        <v>174</v>
      </c>
      <c r="Z981" s="322">
        <v>42551</v>
      </c>
      <c r="AA981" s="324">
        <v>186.5</v>
      </c>
      <c r="AB981" s="323">
        <v>134.5</v>
      </c>
    </row>
    <row r="982" spans="1:28">
      <c r="A982" s="264">
        <v>42530</v>
      </c>
      <c r="B982" s="264">
        <v>42530</v>
      </c>
      <c r="C982" s="267">
        <v>191</v>
      </c>
      <c r="D982" s="267">
        <v>140.5</v>
      </c>
      <c r="E982" s="393">
        <v>123</v>
      </c>
      <c r="Z982" s="322">
        <v>42558</v>
      </c>
      <c r="AA982" s="324">
        <v>181.5</v>
      </c>
      <c r="AB982" s="323">
        <v>134.5</v>
      </c>
    </row>
    <row r="983" spans="1:28">
      <c r="A983" s="264">
        <v>42537</v>
      </c>
      <c r="B983" s="264">
        <v>42537</v>
      </c>
      <c r="C983" s="267">
        <v>190.5</v>
      </c>
      <c r="D983" s="267">
        <v>139.5</v>
      </c>
      <c r="E983" s="393">
        <v>117.5</v>
      </c>
      <c r="Z983" s="322">
        <v>42565</v>
      </c>
      <c r="AA983" s="324">
        <v>175</v>
      </c>
      <c r="AB983" s="323">
        <v>134.5</v>
      </c>
    </row>
    <row r="984" spans="1:28">
      <c r="A984" s="264">
        <v>42544</v>
      </c>
      <c r="B984" s="264">
        <v>42544</v>
      </c>
      <c r="C984" s="267">
        <v>186</v>
      </c>
      <c r="D984" s="267">
        <v>138.5</v>
      </c>
      <c r="E984" s="393">
        <v>117.5</v>
      </c>
      <c r="Z984" s="322">
        <v>42572</v>
      </c>
      <c r="AA984" s="324">
        <v>174</v>
      </c>
      <c r="AB984" s="323">
        <v>134.5</v>
      </c>
    </row>
    <row r="985" spans="1:28">
      <c r="A985" s="264">
        <v>42551</v>
      </c>
      <c r="B985" s="264">
        <v>42551</v>
      </c>
      <c r="C985" s="267">
        <v>186.5</v>
      </c>
      <c r="D985" s="267">
        <v>134.5</v>
      </c>
      <c r="E985" s="393">
        <v>117.5</v>
      </c>
      <c r="Z985" s="322">
        <v>42579</v>
      </c>
      <c r="AA985" s="324">
        <v>175.5</v>
      </c>
      <c r="AB985" s="323">
        <v>133.5</v>
      </c>
    </row>
    <row r="986" spans="1:28">
      <c r="A986" s="264">
        <v>42558</v>
      </c>
      <c r="B986" s="264">
        <v>42558</v>
      </c>
      <c r="C986" s="267">
        <v>181.5</v>
      </c>
      <c r="D986" s="267">
        <v>134.5</v>
      </c>
      <c r="E986" s="393">
        <v>117.5</v>
      </c>
      <c r="Z986" s="322">
        <v>42586</v>
      </c>
      <c r="AA986" s="324">
        <v>176.5</v>
      </c>
      <c r="AB986" s="323">
        <v>137.5</v>
      </c>
    </row>
    <row r="987" spans="1:28">
      <c r="A987" s="264">
        <v>42565</v>
      </c>
      <c r="B987" s="264">
        <v>42565</v>
      </c>
      <c r="C987" s="267">
        <v>175</v>
      </c>
      <c r="D987" s="267">
        <v>134.5</v>
      </c>
      <c r="E987" s="393">
        <v>117.5</v>
      </c>
      <c r="Z987" s="322">
        <v>42593</v>
      </c>
      <c r="AA987" s="324">
        <v>180</v>
      </c>
      <c r="AB987" s="323">
        <v>137.5</v>
      </c>
    </row>
    <row r="988" spans="1:28">
      <c r="A988" s="264">
        <v>42572</v>
      </c>
      <c r="B988" s="264">
        <v>42572</v>
      </c>
      <c r="C988" s="267">
        <v>174</v>
      </c>
      <c r="D988" s="267">
        <v>134.5</v>
      </c>
      <c r="E988" s="393">
        <v>117.5</v>
      </c>
      <c r="Z988" s="322">
        <v>42600</v>
      </c>
      <c r="AA988" s="324">
        <v>182</v>
      </c>
      <c r="AB988" s="323">
        <v>142.5</v>
      </c>
    </row>
    <row r="989" spans="1:28">
      <c r="A989" s="264">
        <v>42579</v>
      </c>
      <c r="B989" s="264">
        <v>42579</v>
      </c>
      <c r="C989" s="267">
        <v>175.5</v>
      </c>
      <c r="D989" s="267">
        <v>134.5</v>
      </c>
      <c r="E989" s="393">
        <v>120.5</v>
      </c>
      <c r="Z989" s="322">
        <v>42607</v>
      </c>
      <c r="AA989" s="324">
        <v>184</v>
      </c>
      <c r="AB989" s="323">
        <v>145.5</v>
      </c>
    </row>
    <row r="990" spans="1:28">
      <c r="A990" s="264">
        <v>42586</v>
      </c>
      <c r="B990" s="264">
        <v>42586</v>
      </c>
      <c r="C990" s="267">
        <v>176.5</v>
      </c>
      <c r="D990" s="267">
        <v>133.5</v>
      </c>
      <c r="E990" s="393">
        <v>120</v>
      </c>
      <c r="Z990" s="322">
        <v>42614</v>
      </c>
      <c r="AA990" s="324">
        <v>187</v>
      </c>
      <c r="AB990" s="323">
        <v>145.5</v>
      </c>
    </row>
    <row r="991" spans="1:28">
      <c r="A991" s="264">
        <v>42593</v>
      </c>
      <c r="B991" s="264">
        <v>42593</v>
      </c>
      <c r="C991" s="267">
        <v>180</v>
      </c>
      <c r="D991" s="267">
        <v>137.5</v>
      </c>
      <c r="E991" s="393">
        <v>124.5</v>
      </c>
      <c r="Z991" s="322">
        <v>42621</v>
      </c>
      <c r="AA991" s="324">
        <v>189</v>
      </c>
      <c r="AB991" s="323">
        <v>152</v>
      </c>
    </row>
    <row r="992" spans="1:28">
      <c r="A992" s="264">
        <v>42600</v>
      </c>
      <c r="B992" s="264">
        <v>42600</v>
      </c>
      <c r="C992" s="267">
        <v>182</v>
      </c>
      <c r="D992" s="267">
        <v>137.5</v>
      </c>
      <c r="E992" s="393">
        <v>124.5</v>
      </c>
      <c r="Z992" s="322">
        <v>42628</v>
      </c>
      <c r="AA992" s="324">
        <v>188.5</v>
      </c>
      <c r="AB992" s="323">
        <v>152.5</v>
      </c>
    </row>
    <row r="993" spans="1:28">
      <c r="A993" s="264">
        <v>42607</v>
      </c>
      <c r="B993" s="264">
        <v>42607</v>
      </c>
      <c r="C993" s="267">
        <v>184</v>
      </c>
      <c r="D993" s="267">
        <v>142.5</v>
      </c>
      <c r="E993" s="393">
        <v>131.5</v>
      </c>
      <c r="Z993" s="322">
        <v>42635</v>
      </c>
      <c r="AA993" s="324">
        <v>188.5</v>
      </c>
      <c r="AB993" s="323">
        <v>155</v>
      </c>
    </row>
    <row r="994" spans="1:28">
      <c r="A994" s="264">
        <v>42614</v>
      </c>
      <c r="B994" s="264">
        <v>42614</v>
      </c>
      <c r="C994" s="267">
        <v>187</v>
      </c>
      <c r="D994" s="267">
        <v>145.5</v>
      </c>
      <c r="E994" s="393">
        <v>130</v>
      </c>
      <c r="Z994" s="322">
        <v>42642</v>
      </c>
      <c r="AA994" s="324">
        <v>188.5</v>
      </c>
      <c r="AB994" s="323">
        <v>155</v>
      </c>
    </row>
    <row r="995" spans="1:28">
      <c r="A995" s="264">
        <v>42621</v>
      </c>
      <c r="B995" s="264">
        <v>42621</v>
      </c>
      <c r="C995" s="267">
        <v>189</v>
      </c>
      <c r="D995" s="267">
        <v>145.5</v>
      </c>
      <c r="E995" s="393">
        <v>130</v>
      </c>
      <c r="Z995" s="322">
        <v>42649</v>
      </c>
      <c r="AA995" s="324">
        <v>186.5</v>
      </c>
      <c r="AB995" s="323">
        <v>159.5</v>
      </c>
    </row>
    <row r="996" spans="1:28">
      <c r="A996" s="264">
        <v>42628</v>
      </c>
      <c r="B996" s="264">
        <v>42628</v>
      </c>
      <c r="C996" s="267">
        <v>188.5</v>
      </c>
      <c r="D996" s="267">
        <v>152</v>
      </c>
      <c r="E996" s="393">
        <v>130</v>
      </c>
      <c r="Z996" s="322">
        <v>42656</v>
      </c>
      <c r="AA996" s="324">
        <v>187</v>
      </c>
      <c r="AB996" s="323">
        <v>170.5</v>
      </c>
    </row>
    <row r="997" spans="1:28">
      <c r="A997" s="264">
        <v>42635</v>
      </c>
      <c r="B997" s="264">
        <v>42635</v>
      </c>
      <c r="C997" s="267">
        <v>188.5</v>
      </c>
      <c r="D997" s="267">
        <v>152.5</v>
      </c>
      <c r="E997" s="393">
        <v>130</v>
      </c>
      <c r="Z997" s="322">
        <v>42663</v>
      </c>
      <c r="AA997" s="324">
        <v>190.5</v>
      </c>
      <c r="AB997" s="323">
        <v>175.5</v>
      </c>
    </row>
    <row r="998" spans="1:28">
      <c r="A998" s="264">
        <v>42642</v>
      </c>
      <c r="B998" s="264">
        <v>42642</v>
      </c>
      <c r="C998" s="267">
        <v>188.5</v>
      </c>
      <c r="D998" s="267">
        <v>155</v>
      </c>
      <c r="E998" s="393">
        <v>127.5</v>
      </c>
      <c r="Z998" s="322">
        <v>42670</v>
      </c>
      <c r="AA998" s="324">
        <v>190.5</v>
      </c>
      <c r="AB998" s="323">
        <v>175.5</v>
      </c>
    </row>
    <row r="999" spans="1:28">
      <c r="A999" s="264">
        <v>42649</v>
      </c>
      <c r="B999" s="264">
        <v>42649</v>
      </c>
      <c r="C999" s="267">
        <v>186.5</v>
      </c>
      <c r="D999" s="267">
        <v>155</v>
      </c>
      <c r="E999" s="393">
        <v>127</v>
      </c>
      <c r="Z999" s="322">
        <v>42677</v>
      </c>
      <c r="AA999" s="324">
        <v>195</v>
      </c>
      <c r="AB999" s="323">
        <v>187.5</v>
      </c>
    </row>
    <row r="1000" spans="1:28">
      <c r="A1000" s="264">
        <v>42656</v>
      </c>
      <c r="B1000" s="264">
        <v>42656</v>
      </c>
      <c r="C1000" s="267">
        <v>187</v>
      </c>
      <c r="D1000" s="267">
        <v>159.5</v>
      </c>
      <c r="E1000" s="393">
        <v>124.5</v>
      </c>
      <c r="Z1000" s="322">
        <v>42684</v>
      </c>
      <c r="AA1000" s="324">
        <v>207.5</v>
      </c>
      <c r="AB1000" s="323">
        <v>187.5</v>
      </c>
    </row>
    <row r="1001" spans="1:28">
      <c r="A1001" s="264">
        <v>42663</v>
      </c>
      <c r="B1001" s="264">
        <v>42663</v>
      </c>
      <c r="C1001" s="267">
        <v>190.5</v>
      </c>
      <c r="D1001" s="267">
        <v>170.5</v>
      </c>
      <c r="E1001" s="393">
        <v>124.5</v>
      </c>
      <c r="Z1001" s="322">
        <v>42691</v>
      </c>
      <c r="AA1001" s="324">
        <v>220.5</v>
      </c>
      <c r="AB1001" s="323">
        <v>187.5</v>
      </c>
    </row>
    <row r="1002" spans="1:28">
      <c r="A1002" s="264">
        <v>42670</v>
      </c>
      <c r="B1002" s="264">
        <v>42670</v>
      </c>
      <c r="C1002" s="267">
        <v>190.5</v>
      </c>
      <c r="D1002" s="267">
        <v>175.5</v>
      </c>
      <c r="E1002" s="393">
        <v>122.5</v>
      </c>
      <c r="Z1002" s="322">
        <v>42698</v>
      </c>
      <c r="AA1002" s="324">
        <v>220</v>
      </c>
      <c r="AB1002" s="323">
        <v>177.5</v>
      </c>
    </row>
    <row r="1003" spans="1:28">
      <c r="A1003" s="264">
        <v>42677</v>
      </c>
      <c r="B1003" s="264">
        <v>42677</v>
      </c>
      <c r="C1003" s="267">
        <v>195</v>
      </c>
      <c r="D1003" s="267">
        <v>175.5</v>
      </c>
      <c r="E1003" s="393">
        <v>122.5</v>
      </c>
      <c r="Z1003" s="322">
        <v>42705</v>
      </c>
      <c r="AA1003" s="324">
        <v>207.5</v>
      </c>
      <c r="AB1003" s="323">
        <v>180.5</v>
      </c>
    </row>
    <row r="1004" spans="1:28">
      <c r="A1004" s="264">
        <v>42684</v>
      </c>
      <c r="B1004" s="264">
        <v>42684</v>
      </c>
      <c r="C1004" s="267">
        <v>207.5</v>
      </c>
      <c r="D1004" s="267">
        <v>187.5</v>
      </c>
      <c r="E1004" s="393">
        <v>125</v>
      </c>
      <c r="Z1004" s="322">
        <v>42712</v>
      </c>
      <c r="AA1004" s="324">
        <v>212.5</v>
      </c>
      <c r="AB1004" s="323">
        <v>180.5</v>
      </c>
    </row>
    <row r="1005" spans="1:28">
      <c r="A1005" s="264">
        <v>42691</v>
      </c>
      <c r="B1005" s="264">
        <v>42691</v>
      </c>
      <c r="C1005" s="267">
        <v>220.5</v>
      </c>
      <c r="D1005" s="267">
        <v>187.5</v>
      </c>
      <c r="E1005" s="393">
        <v>121.5</v>
      </c>
      <c r="Z1005" s="322">
        <v>42719</v>
      </c>
      <c r="AA1005" s="324">
        <v>214</v>
      </c>
      <c r="AB1005" s="323">
        <v>182.5</v>
      </c>
    </row>
    <row r="1006" spans="1:28">
      <c r="A1006" s="264">
        <v>42698</v>
      </c>
      <c r="B1006" s="264">
        <v>42698</v>
      </c>
      <c r="C1006" s="267">
        <v>220</v>
      </c>
      <c r="D1006" s="267">
        <v>187.5</v>
      </c>
      <c r="E1006" s="393">
        <v>127.5</v>
      </c>
      <c r="Z1006" s="322">
        <v>42726</v>
      </c>
      <c r="AA1006" s="324">
        <v>220.5</v>
      </c>
      <c r="AB1006" s="323">
        <v>182.5</v>
      </c>
    </row>
    <row r="1007" spans="1:28">
      <c r="A1007" s="264">
        <v>42705</v>
      </c>
      <c r="B1007" s="264">
        <v>42705</v>
      </c>
      <c r="C1007" s="267">
        <v>207.5</v>
      </c>
      <c r="D1007" s="267">
        <v>177.5</v>
      </c>
      <c r="E1007" s="393">
        <v>129</v>
      </c>
      <c r="Z1007" s="322">
        <v>42740</v>
      </c>
      <c r="AA1007" s="324">
        <v>221.5</v>
      </c>
      <c r="AB1007" s="323">
        <v>190</v>
      </c>
    </row>
    <row r="1008" spans="1:28">
      <c r="A1008" s="264">
        <v>42712</v>
      </c>
      <c r="B1008" s="264">
        <v>42712</v>
      </c>
      <c r="C1008" s="267">
        <v>212.5</v>
      </c>
      <c r="D1008" s="267">
        <v>180.5</v>
      </c>
      <c r="E1008" s="393">
        <v>135.5</v>
      </c>
      <c r="Z1008" s="322">
        <v>42747</v>
      </c>
      <c r="AA1008" s="324">
        <v>230.5</v>
      </c>
      <c r="AB1008" s="323">
        <v>192.5</v>
      </c>
    </row>
    <row r="1009" spans="1:28">
      <c r="A1009" s="264">
        <v>42719</v>
      </c>
      <c r="B1009" s="264">
        <v>42719</v>
      </c>
      <c r="C1009" s="267">
        <v>214</v>
      </c>
      <c r="D1009" s="267">
        <v>180.5</v>
      </c>
      <c r="E1009" s="393">
        <v>137.5</v>
      </c>
      <c r="Z1009" s="322">
        <v>42754</v>
      </c>
      <c r="AA1009" s="324">
        <v>246.5</v>
      </c>
      <c r="AB1009" s="323">
        <v>200.5</v>
      </c>
    </row>
    <row r="1010" spans="1:28">
      <c r="A1010" s="264">
        <v>42726</v>
      </c>
      <c r="B1010" s="264">
        <v>42726</v>
      </c>
      <c r="C1010" s="267">
        <v>220.5</v>
      </c>
      <c r="D1010" s="267">
        <v>182.5</v>
      </c>
      <c r="E1010" s="393">
        <v>141</v>
      </c>
      <c r="Z1010" s="322">
        <v>42761</v>
      </c>
      <c r="AA1010" s="324">
        <v>247.5</v>
      </c>
      <c r="AB1010" s="323">
        <v>202.5</v>
      </c>
    </row>
    <row r="1011" spans="1:28">
      <c r="A1011" s="264">
        <v>42740</v>
      </c>
      <c r="B1011" s="264">
        <v>42740</v>
      </c>
      <c r="C1011" s="267">
        <v>221.5</v>
      </c>
      <c r="D1011" s="267">
        <v>182.5</v>
      </c>
      <c r="E1011" s="393">
        <v>142</v>
      </c>
      <c r="Z1011" s="322">
        <v>42768</v>
      </c>
      <c r="AA1011" s="324">
        <v>250</v>
      </c>
      <c r="AB1011" s="323">
        <v>205</v>
      </c>
    </row>
    <row r="1012" spans="1:28">
      <c r="A1012" s="264">
        <v>42747</v>
      </c>
      <c r="B1012" s="264">
        <v>42747</v>
      </c>
      <c r="C1012" s="267">
        <v>230.5</v>
      </c>
      <c r="D1012" s="267">
        <v>190</v>
      </c>
      <c r="E1012" s="393">
        <v>144</v>
      </c>
    </row>
    <row r="1013" spans="1:28">
      <c r="A1013" s="264">
        <v>42754</v>
      </c>
      <c r="B1013" s="264">
        <v>42754</v>
      </c>
      <c r="C1013" s="267">
        <v>246.5</v>
      </c>
      <c r="D1013" s="267">
        <v>192.5</v>
      </c>
      <c r="E1013" s="393">
        <v>149</v>
      </c>
    </row>
    <row r="1014" spans="1:28">
      <c r="A1014" s="264">
        <v>42761</v>
      </c>
      <c r="B1014" s="264">
        <v>42761</v>
      </c>
      <c r="C1014" s="267">
        <v>247.5</v>
      </c>
      <c r="D1014" s="267">
        <v>200.5</v>
      </c>
      <c r="E1014" s="393">
        <v>147.5</v>
      </c>
    </row>
    <row r="1015" spans="1:28">
      <c r="A1015" s="264">
        <v>42768</v>
      </c>
      <c r="B1015" s="264">
        <v>42768</v>
      </c>
      <c r="C1015" s="267">
        <v>250</v>
      </c>
      <c r="D1015" s="267">
        <v>202.5</v>
      </c>
      <c r="E1015" s="393">
        <v>151.5</v>
      </c>
    </row>
    <row r="1016" spans="1:28">
      <c r="A1016" s="264">
        <v>42775</v>
      </c>
      <c r="B1016" s="264">
        <v>42775</v>
      </c>
      <c r="C1016" s="267">
        <v>250</v>
      </c>
      <c r="D1016" s="267">
        <v>202.5</v>
      </c>
      <c r="E1016" s="393">
        <v>151.5</v>
      </c>
    </row>
    <row r="1017" spans="1:28">
      <c r="A1017" s="264">
        <v>42782</v>
      </c>
      <c r="B1017" s="264">
        <v>42782</v>
      </c>
      <c r="C1017" s="267">
        <v>250</v>
      </c>
      <c r="D1017" s="267">
        <v>202.5</v>
      </c>
      <c r="E1017" s="393">
        <v>151.5</v>
      </c>
    </row>
    <row r="1018" spans="1:28">
      <c r="A1018" s="264">
        <v>42789</v>
      </c>
      <c r="B1018" s="264">
        <v>42789</v>
      </c>
      <c r="C1018" s="267">
        <v>245</v>
      </c>
      <c r="D1018" s="267">
        <v>197.5</v>
      </c>
      <c r="E1018" s="393">
        <v>150</v>
      </c>
    </row>
    <row r="1019" spans="1:28">
      <c r="A1019" s="264">
        <v>42796</v>
      </c>
      <c r="B1019" s="264">
        <v>42796</v>
      </c>
      <c r="C1019" s="267">
        <v>242.5</v>
      </c>
      <c r="D1019" s="267">
        <v>195.5</v>
      </c>
      <c r="E1019" s="393">
        <v>167.5</v>
      </c>
    </row>
    <row r="1020" spans="1:28">
      <c r="A1020" s="264">
        <v>42803</v>
      </c>
      <c r="B1020" s="264">
        <v>42803</v>
      </c>
      <c r="C1020" s="267">
        <v>239</v>
      </c>
      <c r="D1020" s="267">
        <v>194</v>
      </c>
      <c r="E1020" s="393">
        <v>165.5</v>
      </c>
    </row>
    <row r="1021" spans="1:28">
      <c r="A1021" s="264">
        <v>42810</v>
      </c>
      <c r="B1021" s="264">
        <v>42810</v>
      </c>
      <c r="C1021" s="267">
        <v>232</v>
      </c>
      <c r="D1021" s="267">
        <v>192.5</v>
      </c>
      <c r="E1021" s="393">
        <v>171.5</v>
      </c>
    </row>
    <row r="1022" spans="1:28">
      <c r="A1022" s="264">
        <v>42817</v>
      </c>
      <c r="B1022" s="264">
        <v>42817</v>
      </c>
      <c r="C1022" s="267">
        <v>230.5</v>
      </c>
      <c r="D1022" s="267">
        <v>192.5</v>
      </c>
      <c r="E1022" s="393">
        <v>157</v>
      </c>
    </row>
    <row r="1023" spans="1:28">
      <c r="A1023" s="264">
        <v>42824</v>
      </c>
      <c r="B1023" s="264">
        <v>42824</v>
      </c>
      <c r="C1023" s="267">
        <v>204</v>
      </c>
      <c r="D1023" s="267">
        <v>192.5</v>
      </c>
      <c r="E1023" s="393">
        <v>157</v>
      </c>
    </row>
    <row r="1024" spans="1:28">
      <c r="A1024" s="264">
        <v>42831</v>
      </c>
      <c r="B1024" s="264">
        <v>42831</v>
      </c>
      <c r="C1024" s="267">
        <v>208</v>
      </c>
      <c r="D1024" s="267">
        <v>182.5</v>
      </c>
    </row>
    <row r="1025" spans="1:4">
      <c r="A1025" s="264">
        <v>42838</v>
      </c>
      <c r="B1025" s="264">
        <v>42838</v>
      </c>
      <c r="C1025" s="267">
        <v>211</v>
      </c>
      <c r="D1025" s="267">
        <v>177</v>
      </c>
    </row>
    <row r="1026" spans="1:4">
      <c r="A1026" s="264">
        <v>42845</v>
      </c>
      <c r="B1026" s="264">
        <v>42845</v>
      </c>
      <c r="C1026" s="267">
        <v>208</v>
      </c>
      <c r="D1026" s="267">
        <v>177</v>
      </c>
    </row>
    <row r="1027" spans="1:4">
      <c r="A1027" s="264">
        <v>42852</v>
      </c>
      <c r="B1027" s="264">
        <v>42852</v>
      </c>
      <c r="C1027" s="267">
        <v>202.5</v>
      </c>
      <c r="D1027" s="267">
        <v>177</v>
      </c>
    </row>
    <row r="1028" spans="1:4">
      <c r="A1028" s="264">
        <v>42859</v>
      </c>
      <c r="B1028" s="264">
        <v>42859</v>
      </c>
      <c r="C1028" s="267">
        <v>183.5</v>
      </c>
      <c r="D1028" s="267">
        <v>165.5</v>
      </c>
    </row>
    <row r="1029" spans="1:4">
      <c r="A1029" s="264">
        <v>42866</v>
      </c>
      <c r="B1029" s="264">
        <v>42866</v>
      </c>
      <c r="C1029" s="267">
        <v>179</v>
      </c>
      <c r="D1029" s="267">
        <v>162.5</v>
      </c>
    </row>
    <row r="1030" spans="1:4">
      <c r="A1030" s="264">
        <v>42873</v>
      </c>
      <c r="B1030" s="264">
        <v>42873</v>
      </c>
      <c r="C1030" s="267">
        <v>180.5</v>
      </c>
      <c r="D1030" s="267">
        <v>163</v>
      </c>
    </row>
    <row r="1031" spans="1:4">
      <c r="A1031" s="264">
        <v>42880</v>
      </c>
      <c r="B1031" s="264">
        <v>42880</v>
      </c>
      <c r="C1031" s="267">
        <v>186.5</v>
      </c>
      <c r="D1031" s="267">
        <v>163</v>
      </c>
    </row>
    <row r="1032" spans="1:4">
      <c r="A1032" s="264">
        <v>42887</v>
      </c>
      <c r="B1032" s="264">
        <v>42887</v>
      </c>
      <c r="C1032" s="267">
        <v>187</v>
      </c>
      <c r="D1032" s="267">
        <v>157.5</v>
      </c>
    </row>
    <row r="1033" spans="1:4">
      <c r="A1033" s="264">
        <v>42894</v>
      </c>
      <c r="B1033" s="264">
        <v>42894</v>
      </c>
      <c r="C1033" s="267">
        <v>188.5</v>
      </c>
      <c r="D1033" s="267">
        <v>155.5</v>
      </c>
    </row>
  </sheetData>
  <hyperlinks>
    <hyperlink ref="P127" r:id="rId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9"/>
  <sheetViews>
    <sheetView topLeftCell="A37" workbookViewId="0">
      <selection activeCell="M48" sqref="M48"/>
    </sheetView>
  </sheetViews>
  <sheetFormatPr defaultRowHeight="12.75"/>
  <cols>
    <col min="1" max="1" width="9.140625" style="365"/>
    <col min="2" max="2" width="9.140625" style="366"/>
    <col min="3" max="3" width="9.140625" style="365"/>
    <col min="4" max="10" width="13" style="365" customWidth="1"/>
    <col min="11" max="13" width="9.140625" style="365"/>
    <col min="14" max="14" width="14.7109375" style="365" customWidth="1"/>
    <col min="15" max="15" width="11.7109375" style="365" bestFit="1" customWidth="1"/>
    <col min="16" max="16" width="13.7109375" style="365" bestFit="1" customWidth="1"/>
    <col min="17" max="17" width="13.5703125" style="365" customWidth="1"/>
    <col min="18" max="16384" width="9.140625" style="365"/>
  </cols>
  <sheetData>
    <row r="1" spans="2:18">
      <c r="R1" s="365">
        <v>40.533999999999999</v>
      </c>
    </row>
    <row r="2" spans="2:18">
      <c r="C2" s="387"/>
      <c r="D2" s="387" t="s">
        <v>89</v>
      </c>
      <c r="E2" s="387" t="s">
        <v>310</v>
      </c>
      <c r="F2" s="387" t="s">
        <v>115</v>
      </c>
      <c r="G2" s="387" t="s">
        <v>90</v>
      </c>
      <c r="H2" s="387" t="s">
        <v>309</v>
      </c>
      <c r="I2" s="387" t="s">
        <v>308</v>
      </c>
      <c r="J2" s="387" t="s">
        <v>278</v>
      </c>
      <c r="Q2" s="365" t="s">
        <v>311</v>
      </c>
      <c r="R2" s="389">
        <v>35.533051999999998</v>
      </c>
    </row>
    <row r="3" spans="2:18">
      <c r="B3" s="366" t="s">
        <v>307</v>
      </c>
      <c r="C3" s="369" t="s">
        <v>294</v>
      </c>
      <c r="D3" s="372">
        <v>194</v>
      </c>
      <c r="E3" s="372">
        <v>186</v>
      </c>
      <c r="F3" s="372">
        <v>152.38461538461539</v>
      </c>
      <c r="G3" s="372">
        <v>267.30769230769232</v>
      </c>
      <c r="H3" s="372">
        <v>115.96153846153847</v>
      </c>
      <c r="I3" s="372">
        <v>326</v>
      </c>
      <c r="Q3" s="365" t="s">
        <v>316</v>
      </c>
      <c r="R3" s="389">
        <v>0.72620799999999996</v>
      </c>
    </row>
    <row r="4" spans="2:18">
      <c r="C4" s="369" t="s">
        <v>293</v>
      </c>
      <c r="D4" s="372">
        <v>194.11538461538461</v>
      </c>
      <c r="E4" s="372">
        <v>154</v>
      </c>
      <c r="F4" s="372">
        <v>142.57692307692307</v>
      </c>
      <c r="G4" s="372">
        <v>285.96153846153845</v>
      </c>
      <c r="H4" s="372">
        <v>115</v>
      </c>
      <c r="I4" s="372">
        <v>308</v>
      </c>
      <c r="Q4" s="365" t="s">
        <v>312</v>
      </c>
      <c r="R4" s="389">
        <f>0.522+0.111</f>
        <v>0.63300000000000001</v>
      </c>
    </row>
    <row r="5" spans="2:18">
      <c r="C5" s="369" t="s">
        <v>292</v>
      </c>
      <c r="D5" s="372">
        <v>182.30769230769232</v>
      </c>
      <c r="E5" s="372">
        <v>147</v>
      </c>
      <c r="F5" s="372">
        <v>126.5</v>
      </c>
      <c r="G5" s="372">
        <v>216.34615384615384</v>
      </c>
      <c r="H5" s="372">
        <v>111.92307692307692</v>
      </c>
      <c r="I5" s="372">
        <v>277</v>
      </c>
      <c r="Q5" s="365" t="s">
        <v>313</v>
      </c>
      <c r="R5" s="389">
        <v>0.76377200000000001</v>
      </c>
    </row>
    <row r="6" spans="2:18">
      <c r="C6" s="376" t="s">
        <v>291</v>
      </c>
      <c r="D6" s="386">
        <v>204.33333333333334</v>
      </c>
      <c r="E6" s="386">
        <v>179</v>
      </c>
      <c r="F6" s="386">
        <v>133.08333333333334</v>
      </c>
      <c r="G6" s="386">
        <v>207.08333333333334</v>
      </c>
      <c r="H6" s="386">
        <v>105.625</v>
      </c>
      <c r="I6" s="386">
        <v>254</v>
      </c>
      <c r="J6" s="385"/>
      <c r="Q6" s="365" t="s">
        <v>314</v>
      </c>
      <c r="R6" s="389">
        <v>0.20366899999999999</v>
      </c>
    </row>
    <row r="7" spans="2:18">
      <c r="C7" s="373">
        <v>2016</v>
      </c>
      <c r="D7" s="372">
        <f t="shared" ref="D7:I7" si="0">AVERAGE(D3:D6)</f>
        <v>193.68910256410257</v>
      </c>
      <c r="E7" s="372">
        <f t="shared" si="0"/>
        <v>166.5</v>
      </c>
      <c r="F7" s="372">
        <f t="shared" si="0"/>
        <v>138.63621794871796</v>
      </c>
      <c r="G7" s="372">
        <f t="shared" si="0"/>
        <v>244.17467948717947</v>
      </c>
      <c r="H7" s="372">
        <f t="shared" si="0"/>
        <v>112.12740384615384</v>
      </c>
      <c r="I7" s="372">
        <f t="shared" si="0"/>
        <v>291.25</v>
      </c>
      <c r="J7" s="372"/>
      <c r="Q7" s="365" t="s">
        <v>315</v>
      </c>
      <c r="R7" s="389">
        <v>0.12745300000000001</v>
      </c>
    </row>
    <row r="8" spans="2:18">
      <c r="C8" s="369"/>
      <c r="D8" s="372"/>
      <c r="E8" s="372"/>
      <c r="F8" s="372"/>
      <c r="G8" s="372"/>
      <c r="H8" s="372"/>
      <c r="I8" s="372"/>
      <c r="J8" s="372"/>
    </row>
    <row r="9" spans="2:18">
      <c r="C9" s="369" t="s">
        <v>290</v>
      </c>
      <c r="D9" s="372">
        <v>237.61538461538461</v>
      </c>
      <c r="E9" s="372">
        <v>202</v>
      </c>
      <c r="F9" s="372">
        <v>158</v>
      </c>
      <c r="G9" s="372">
        <v>302</v>
      </c>
      <c r="H9" s="372">
        <v>97.884615384615387</v>
      </c>
      <c r="I9" s="372">
        <v>262</v>
      </c>
    </row>
    <row r="10" spans="2:18">
      <c r="C10" s="369" t="s">
        <v>289</v>
      </c>
      <c r="D10" s="372">
        <v>193</v>
      </c>
      <c r="E10" s="372">
        <v>168</v>
      </c>
      <c r="F10" s="372">
        <v>130</v>
      </c>
      <c r="G10" s="372">
        <v>301</v>
      </c>
      <c r="H10" s="372">
        <v>94</v>
      </c>
      <c r="I10" s="372">
        <v>267</v>
      </c>
    </row>
    <row r="11" spans="2:18">
      <c r="C11" s="369" t="s">
        <v>288</v>
      </c>
      <c r="D11" s="372">
        <v>220</v>
      </c>
      <c r="E11" s="372">
        <v>200</v>
      </c>
      <c r="F11" s="372">
        <v>170</v>
      </c>
      <c r="G11" s="372">
        <v>320</v>
      </c>
      <c r="H11" s="372">
        <v>102</v>
      </c>
      <c r="I11" s="372">
        <v>275</v>
      </c>
    </row>
    <row r="12" spans="2:18">
      <c r="C12" s="376" t="s">
        <v>287</v>
      </c>
      <c r="D12" s="386">
        <v>240</v>
      </c>
      <c r="E12" s="386">
        <v>210</v>
      </c>
      <c r="F12" s="386">
        <v>190</v>
      </c>
      <c r="G12" s="386">
        <v>320</v>
      </c>
      <c r="H12" s="386">
        <v>102</v>
      </c>
      <c r="I12" s="386">
        <v>280</v>
      </c>
      <c r="J12" s="385"/>
    </row>
    <row r="13" spans="2:18">
      <c r="C13" s="373">
        <v>2017</v>
      </c>
      <c r="D13" s="372">
        <f t="shared" ref="D13:I13" si="1">AVERAGE(D9:D12)</f>
        <v>222.65384615384616</v>
      </c>
      <c r="E13" s="372">
        <f t="shared" si="1"/>
        <v>195</v>
      </c>
      <c r="F13" s="372">
        <f t="shared" si="1"/>
        <v>162</v>
      </c>
      <c r="G13" s="372">
        <f t="shared" si="1"/>
        <v>310.75</v>
      </c>
      <c r="H13" s="372">
        <f t="shared" si="1"/>
        <v>98.97115384615384</v>
      </c>
      <c r="I13" s="372">
        <f t="shared" si="1"/>
        <v>271</v>
      </c>
      <c r="J13" s="372"/>
      <c r="R13" s="389">
        <f>R1-SUM(R2:R11)</f>
        <v>2.5468459999999951</v>
      </c>
    </row>
    <row r="14" spans="2:18">
      <c r="C14" s="369"/>
      <c r="D14" s="372"/>
      <c r="E14" s="372"/>
      <c r="F14" s="372"/>
      <c r="G14" s="372"/>
      <c r="H14" s="372"/>
      <c r="I14" s="372"/>
      <c r="J14" s="372"/>
    </row>
    <row r="15" spans="2:18">
      <c r="B15" s="366" t="s">
        <v>306</v>
      </c>
      <c r="C15" s="369" t="s">
        <v>294</v>
      </c>
      <c r="D15" s="372">
        <v>76.026050000000012</v>
      </c>
      <c r="E15" s="372">
        <v>409.07796000000008</v>
      </c>
      <c r="F15" s="372">
        <v>182.16001879999999</v>
      </c>
      <c r="G15" s="372">
        <v>0</v>
      </c>
      <c r="H15" s="372">
        <v>69.288999999999987</v>
      </c>
      <c r="I15" s="372">
        <v>552.42542000000014</v>
      </c>
    </row>
    <row r="16" spans="2:18">
      <c r="C16" s="369" t="s">
        <v>293</v>
      </c>
      <c r="D16" s="372">
        <v>72.986650000000012</v>
      </c>
      <c r="E16" s="372">
        <v>323.12798000000009</v>
      </c>
      <c r="F16" s="372">
        <v>287.58534829999996</v>
      </c>
      <c r="G16" s="372">
        <v>25.504000000000001</v>
      </c>
      <c r="H16" s="372">
        <v>111.26991000000021</v>
      </c>
      <c r="I16" s="372">
        <v>459.73124399999983</v>
      </c>
    </row>
    <row r="17" spans="2:10">
      <c r="C17" s="369" t="s">
        <v>292</v>
      </c>
      <c r="D17" s="372">
        <v>75.014640000000028</v>
      </c>
      <c r="E17" s="372">
        <v>359.74746000000016</v>
      </c>
      <c r="F17" s="372">
        <v>292.99056350000012</v>
      </c>
      <c r="G17" s="372">
        <v>124.22579000000003</v>
      </c>
      <c r="H17" s="372">
        <v>49.825849999999718</v>
      </c>
      <c r="I17" s="372">
        <v>521.84451800000011</v>
      </c>
    </row>
    <row r="18" spans="2:10">
      <c r="C18" s="376" t="s">
        <v>291</v>
      </c>
      <c r="D18" s="386">
        <v>125.56370999999994</v>
      </c>
      <c r="E18" s="386">
        <v>434.70819999999969</v>
      </c>
      <c r="F18" s="386">
        <v>172.0821289999999</v>
      </c>
      <c r="G18" s="386">
        <v>119.46888999999994</v>
      </c>
      <c r="H18" s="386">
        <v>109.07469999999989</v>
      </c>
      <c r="I18" s="386">
        <v>525.54487999999958</v>
      </c>
      <c r="J18" s="385"/>
    </row>
    <row r="19" spans="2:10">
      <c r="C19" s="373">
        <v>2016</v>
      </c>
      <c r="D19" s="372">
        <f>SUM(D15:D18)</f>
        <v>349.59105</v>
      </c>
      <c r="E19" s="372">
        <f t="shared" ref="E19:I19" si="2">SUM(E15:E18)</f>
        <v>1526.6615999999999</v>
      </c>
      <c r="F19" s="372">
        <f t="shared" si="2"/>
        <v>934.81805959999997</v>
      </c>
      <c r="G19" s="372">
        <f t="shared" si="2"/>
        <v>269.19867999999997</v>
      </c>
      <c r="H19" s="372">
        <f t="shared" si="2"/>
        <v>339.45945999999981</v>
      </c>
      <c r="I19" s="372">
        <f t="shared" si="2"/>
        <v>2059.5460619999994</v>
      </c>
      <c r="J19" s="372"/>
    </row>
    <row r="20" spans="2:10">
      <c r="C20" s="369"/>
      <c r="D20" s="372"/>
      <c r="E20" s="372"/>
      <c r="F20" s="372"/>
      <c r="G20" s="372"/>
      <c r="H20" s="372"/>
      <c r="I20" s="372"/>
    </row>
    <row r="21" spans="2:10">
      <c r="C21" s="369" t="s">
        <v>290</v>
      </c>
      <c r="D21" s="372">
        <v>95.263819999999981</v>
      </c>
      <c r="E21" s="372">
        <v>363.38774999999993</v>
      </c>
      <c r="F21" s="372">
        <v>303.97920000000005</v>
      </c>
      <c r="G21" s="372">
        <v>162.40422000000001</v>
      </c>
      <c r="H21" s="372">
        <v>8.1213500000000067</v>
      </c>
      <c r="I21" s="372">
        <v>618.10088199999996</v>
      </c>
    </row>
    <row r="22" spans="2:10">
      <c r="C22" s="369" t="s">
        <v>289</v>
      </c>
      <c r="D22" s="372">
        <v>118.24539333333333</v>
      </c>
      <c r="E22" s="372">
        <v>292.53741666666673</v>
      </c>
      <c r="F22" s="372">
        <v>327.34026666666665</v>
      </c>
      <c r="G22" s="372">
        <v>187.86526000000001</v>
      </c>
      <c r="H22" s="372">
        <v>83.959549999999993</v>
      </c>
      <c r="I22" s="372">
        <v>593.96637266666664</v>
      </c>
    </row>
    <row r="23" spans="2:10">
      <c r="C23" s="369" t="s">
        <v>288</v>
      </c>
      <c r="D23" s="372">
        <v>118.24539333333333</v>
      </c>
      <c r="E23" s="372">
        <v>292.53741666666673</v>
      </c>
      <c r="F23" s="372">
        <v>327.34026666666665</v>
      </c>
      <c r="G23" s="372">
        <v>187.86526000000001</v>
      </c>
      <c r="H23" s="372">
        <v>83.959549999999993</v>
      </c>
      <c r="I23" s="372">
        <v>593.96637266666664</v>
      </c>
    </row>
    <row r="24" spans="2:10">
      <c r="C24" s="376" t="s">
        <v>287</v>
      </c>
      <c r="D24" s="386">
        <v>118.24539333333333</v>
      </c>
      <c r="E24" s="386">
        <v>292.53741666666673</v>
      </c>
      <c r="F24" s="386">
        <v>327.34026666666665</v>
      </c>
      <c r="G24" s="386">
        <v>187.86526000000001</v>
      </c>
      <c r="H24" s="386">
        <v>83.959549999999993</v>
      </c>
      <c r="I24" s="386">
        <v>593.96637266666664</v>
      </c>
      <c r="J24" s="385"/>
    </row>
    <row r="25" spans="2:10">
      <c r="C25" s="373">
        <v>2017</v>
      </c>
      <c r="D25" s="372">
        <f>SUM(D21:D24)</f>
        <v>449.99999999999994</v>
      </c>
      <c r="E25" s="372">
        <f t="shared" ref="E25:I25" si="3">SUM(E21:E24)</f>
        <v>1241.0000000000002</v>
      </c>
      <c r="F25" s="372">
        <f t="shared" si="3"/>
        <v>1286</v>
      </c>
      <c r="G25" s="372">
        <f t="shared" si="3"/>
        <v>726.00000000000011</v>
      </c>
      <c r="H25" s="372">
        <f t="shared" si="3"/>
        <v>260</v>
      </c>
      <c r="I25" s="372">
        <f t="shared" si="3"/>
        <v>2400</v>
      </c>
      <c r="J25" s="372"/>
    </row>
    <row r="26" spans="2:10">
      <c r="C26" s="373"/>
      <c r="D26" s="372"/>
      <c r="E26" s="372"/>
      <c r="F26" s="372"/>
      <c r="G26" s="372"/>
      <c r="H26" s="372"/>
      <c r="I26" s="372"/>
      <c r="J26" s="372"/>
    </row>
    <row r="27" spans="2:10">
      <c r="B27" s="366" t="s">
        <v>307</v>
      </c>
      <c r="C27" s="369" t="s">
        <v>305</v>
      </c>
      <c r="D27" s="367"/>
      <c r="E27" s="367"/>
      <c r="F27" s="370"/>
      <c r="G27" s="370"/>
      <c r="H27" s="370"/>
      <c r="I27" s="370"/>
    </row>
    <row r="28" spans="2:10">
      <c r="C28" s="369" t="s">
        <v>290</v>
      </c>
      <c r="D28" s="367">
        <f t="shared" ref="D28:I32" si="4">D9/D3-1</f>
        <v>0.22482157018239501</v>
      </c>
      <c r="E28" s="367">
        <f t="shared" si="4"/>
        <v>8.602150537634401E-2</v>
      </c>
      <c r="F28" s="367">
        <f t="shared" si="4"/>
        <v>3.6850075719333741E-2</v>
      </c>
      <c r="G28" s="367">
        <f t="shared" si="4"/>
        <v>0.12978417266187048</v>
      </c>
      <c r="H28" s="367">
        <f t="shared" si="4"/>
        <v>-0.15588723051409625</v>
      </c>
      <c r="I28" s="367">
        <f t="shared" si="4"/>
        <v>-0.19631901840490795</v>
      </c>
    </row>
    <row r="29" spans="2:10">
      <c r="C29" s="369" t="s">
        <v>289</v>
      </c>
      <c r="D29" s="367">
        <f t="shared" si="4"/>
        <v>-5.7459877154745209E-3</v>
      </c>
      <c r="E29" s="367">
        <f t="shared" si="4"/>
        <v>9.0909090909090828E-2</v>
      </c>
      <c r="F29" s="367">
        <f t="shared" si="4"/>
        <v>-8.821149177232257E-2</v>
      </c>
      <c r="G29" s="367">
        <f t="shared" si="4"/>
        <v>5.2589105581708262E-2</v>
      </c>
      <c r="H29" s="367">
        <f t="shared" si="4"/>
        <v>-0.18260869565217386</v>
      </c>
      <c r="I29" s="367">
        <f t="shared" si="4"/>
        <v>-0.13311688311688308</v>
      </c>
    </row>
    <row r="30" spans="2:10">
      <c r="C30" s="369" t="s">
        <v>288</v>
      </c>
      <c r="D30" s="367">
        <f t="shared" si="4"/>
        <v>0.20675105485232059</v>
      </c>
      <c r="E30" s="367">
        <f t="shared" si="4"/>
        <v>0.36054421768707479</v>
      </c>
      <c r="F30" s="367">
        <f t="shared" si="4"/>
        <v>0.34387351778656128</v>
      </c>
      <c r="G30" s="367">
        <f t="shared" si="4"/>
        <v>0.47911111111111127</v>
      </c>
      <c r="H30" s="367">
        <f t="shared" si="4"/>
        <v>-8.8659793814433008E-2</v>
      </c>
      <c r="I30" s="367">
        <f t="shared" si="4"/>
        <v>-7.2202166064981865E-3</v>
      </c>
    </row>
    <row r="31" spans="2:10">
      <c r="C31" s="376" t="s">
        <v>287</v>
      </c>
      <c r="D31" s="378">
        <f t="shared" si="4"/>
        <v>0.17455138662316472</v>
      </c>
      <c r="E31" s="378">
        <f t="shared" si="4"/>
        <v>0.17318435754189943</v>
      </c>
      <c r="F31" s="378">
        <f t="shared" si="4"/>
        <v>0.42767689417658095</v>
      </c>
      <c r="G31" s="378">
        <f t="shared" si="4"/>
        <v>0.54527162977867194</v>
      </c>
      <c r="H31" s="378">
        <f t="shared" si="4"/>
        <v>-3.4319526627218933E-2</v>
      </c>
      <c r="I31" s="378">
        <f t="shared" si="4"/>
        <v>0.10236220472440949</v>
      </c>
      <c r="J31" s="385"/>
    </row>
    <row r="32" spans="2:10">
      <c r="C32" s="373">
        <v>2017</v>
      </c>
      <c r="D32" s="367">
        <f t="shared" si="4"/>
        <v>0.14954245337657834</v>
      </c>
      <c r="E32" s="367">
        <f t="shared" si="4"/>
        <v>0.1711711711711712</v>
      </c>
      <c r="F32" s="367">
        <f t="shared" si="4"/>
        <v>0.16852581812296985</v>
      </c>
      <c r="G32" s="367">
        <f t="shared" si="4"/>
        <v>0.27265448101598144</v>
      </c>
      <c r="H32" s="367">
        <f t="shared" si="4"/>
        <v>-0.117333047486333</v>
      </c>
      <c r="I32" s="367">
        <f t="shared" si="4"/>
        <v>-6.9527896995708161E-2</v>
      </c>
      <c r="J32" s="372"/>
    </row>
    <row r="33" spans="2:16">
      <c r="C33" s="373"/>
      <c r="D33" s="367"/>
      <c r="E33" s="367"/>
      <c r="F33" s="367"/>
      <c r="G33" s="367"/>
      <c r="H33" s="367"/>
      <c r="I33" s="367"/>
      <c r="J33" s="372"/>
    </row>
    <row r="34" spans="2:16">
      <c r="B34" s="366" t="s">
        <v>306</v>
      </c>
      <c r="C34" s="369" t="s">
        <v>305</v>
      </c>
      <c r="D34" s="370"/>
      <c r="E34" s="370"/>
      <c r="F34" s="370"/>
      <c r="G34" s="370"/>
      <c r="H34" s="370"/>
      <c r="I34" s="370"/>
    </row>
    <row r="35" spans="2:16">
      <c r="C35" s="369" t="s">
        <v>290</v>
      </c>
      <c r="D35" s="367">
        <f t="shared" ref="D35:F39" si="5">D21/D15-1</f>
        <v>0.25304181921854374</v>
      </c>
      <c r="E35" s="367">
        <f t="shared" si="5"/>
        <v>-0.11169071538344466</v>
      </c>
      <c r="F35" s="367">
        <f t="shared" si="5"/>
        <v>0.6687481808714002</v>
      </c>
      <c r="G35" s="367"/>
      <c r="H35" s="367">
        <f t="shared" ref="H35:I39" si="6">H21/H15-1</f>
        <v>-0.88279019757825905</v>
      </c>
      <c r="I35" s="367">
        <f t="shared" si="6"/>
        <v>0.11888566243023324</v>
      </c>
    </row>
    <row r="36" spans="2:16">
      <c r="C36" s="369" t="s">
        <v>289</v>
      </c>
      <c r="D36" s="367">
        <f t="shared" si="5"/>
        <v>0.62009618654004961</v>
      </c>
      <c r="E36" s="367">
        <f t="shared" si="5"/>
        <v>-9.4670115950136413E-2</v>
      </c>
      <c r="F36" s="367">
        <f t="shared" si="5"/>
        <v>0.13823693940483928</v>
      </c>
      <c r="G36" s="367">
        <f>G22/G16-1</f>
        <v>6.3661096298619819</v>
      </c>
      <c r="H36" s="367">
        <f t="shared" si="6"/>
        <v>-0.24544245609617343</v>
      </c>
      <c r="I36" s="367">
        <f t="shared" si="6"/>
        <v>0.29198609060964076</v>
      </c>
    </row>
    <row r="37" spans="2:16">
      <c r="C37" s="369" t="s">
        <v>288</v>
      </c>
      <c r="D37" s="367">
        <f t="shared" si="5"/>
        <v>0.57629755116245684</v>
      </c>
      <c r="E37" s="367">
        <f>E23/E17-1</f>
        <v>-0.18682562298934202</v>
      </c>
      <c r="F37" s="367">
        <f t="shared" si="5"/>
        <v>0.11723825762964046</v>
      </c>
      <c r="G37" s="367">
        <f>G23/G17-1</f>
        <v>0.51228871235191953</v>
      </c>
      <c r="H37" s="367">
        <f t="shared" si="6"/>
        <v>0.68506006420363064</v>
      </c>
      <c r="I37" s="367">
        <f t="shared" si="6"/>
        <v>0.13820563822932885</v>
      </c>
    </row>
    <row r="38" spans="2:16">
      <c r="C38" s="376" t="s">
        <v>287</v>
      </c>
      <c r="D38" s="378">
        <f t="shared" si="5"/>
        <v>-5.8283692530800679E-2</v>
      </c>
      <c r="E38" s="378">
        <f t="shared" si="5"/>
        <v>-0.32704877279364197</v>
      </c>
      <c r="F38" s="378">
        <f t="shared" si="5"/>
        <v>0.90223278017827657</v>
      </c>
      <c r="G38" s="378">
        <f>G24/G18-1</f>
        <v>0.57250360323930427</v>
      </c>
      <c r="H38" s="378">
        <f t="shared" si="6"/>
        <v>-0.23025642059982676</v>
      </c>
      <c r="I38" s="378">
        <f t="shared" si="6"/>
        <v>0.13019153124784921</v>
      </c>
      <c r="J38" s="385"/>
    </row>
    <row r="39" spans="2:16">
      <c r="C39" s="373">
        <v>2017</v>
      </c>
      <c r="D39" s="367">
        <f t="shared" si="5"/>
        <v>0.28721830836344342</v>
      </c>
      <c r="E39" s="367">
        <f t="shared" si="5"/>
        <v>-0.18711520614653554</v>
      </c>
      <c r="F39" s="367">
        <f t="shared" si="5"/>
        <v>0.37566875906341335</v>
      </c>
      <c r="G39" s="367">
        <f>G25/G19-1</f>
        <v>1.6968928673795882</v>
      </c>
      <c r="H39" s="367">
        <f t="shared" si="6"/>
        <v>-0.23407643434064218</v>
      </c>
      <c r="I39" s="367">
        <f>I25/I19-1</f>
        <v>0.16530532833501677</v>
      </c>
      <c r="J39" s="372"/>
    </row>
    <row r="40" spans="2:16">
      <c r="C40" s="373"/>
      <c r="D40" s="367"/>
      <c r="E40" s="367"/>
      <c r="F40" s="367"/>
      <c r="G40" s="367"/>
      <c r="H40" s="367"/>
      <c r="I40" s="367"/>
      <c r="J40" s="372"/>
      <c r="L40" s="384" t="s">
        <v>302</v>
      </c>
      <c r="M40" s="383" t="s">
        <v>4</v>
      </c>
      <c r="N40" s="382" t="s">
        <v>7</v>
      </c>
      <c r="O40" s="381" t="s">
        <v>304</v>
      </c>
      <c r="P40" s="380" t="s">
        <v>303</v>
      </c>
    </row>
    <row r="41" spans="2:16">
      <c r="B41" s="366" t="s">
        <v>302</v>
      </c>
      <c r="C41" s="369" t="s">
        <v>294</v>
      </c>
      <c r="D41" s="371">
        <f t="shared" ref="D41:I44" si="7">D3*D15/1000</f>
        <v>14.749053700000003</v>
      </c>
      <c r="E41" s="371">
        <f>E3*E15/1000</f>
        <v>76.088500560000014</v>
      </c>
      <c r="F41" s="371">
        <f t="shared" si="7"/>
        <v>27.758384403292307</v>
      </c>
      <c r="G41" s="371">
        <f t="shared" si="7"/>
        <v>0</v>
      </c>
      <c r="H41" s="371">
        <f t="shared" si="7"/>
        <v>8.034859038461537</v>
      </c>
      <c r="I41" s="371">
        <f t="shared" si="7"/>
        <v>180.09068692000002</v>
      </c>
      <c r="J41" s="371">
        <f>128/4</f>
        <v>32</v>
      </c>
      <c r="L41" s="371">
        <f>D41+E41+F41+G41+H41+I41+J41</f>
        <v>338.72148462175392</v>
      </c>
      <c r="M41" s="370">
        <v>138</v>
      </c>
      <c r="N41" s="367">
        <f>M41/L41</f>
        <v>0.40741436922462387</v>
      </c>
    </row>
    <row r="42" spans="2:16">
      <c r="C42" s="369" t="s">
        <v>293</v>
      </c>
      <c r="D42" s="371">
        <f t="shared" si="7"/>
        <v>14.167831636538464</v>
      </c>
      <c r="E42" s="371">
        <f t="shared" si="7"/>
        <v>49.761708920000011</v>
      </c>
      <c r="F42" s="371">
        <f t="shared" si="7"/>
        <v>41.003034082619223</v>
      </c>
      <c r="G42" s="371">
        <f t="shared" si="7"/>
        <v>7.2931630769230766</v>
      </c>
      <c r="H42" s="371">
        <f t="shared" si="7"/>
        <v>12.796039650000024</v>
      </c>
      <c r="I42" s="371">
        <f t="shared" si="7"/>
        <v>141.59722315199997</v>
      </c>
      <c r="J42" s="371">
        <f>128/4</f>
        <v>32</v>
      </c>
      <c r="L42" s="371">
        <f>D42+E42+F42+G42+H42+I42+J42</f>
        <v>298.61900051808078</v>
      </c>
      <c r="M42" s="370">
        <v>113</v>
      </c>
      <c r="N42" s="367">
        <f>M42/L42</f>
        <v>0.37840860696725181</v>
      </c>
    </row>
    <row r="43" spans="2:16">
      <c r="C43" s="369" t="s">
        <v>292</v>
      </c>
      <c r="D43" s="371">
        <f t="shared" si="7"/>
        <v>13.675745907692313</v>
      </c>
      <c r="E43" s="371">
        <f t="shared" si="7"/>
        <v>52.882876620000026</v>
      </c>
      <c r="F43" s="371">
        <f t="shared" si="7"/>
        <v>37.06330628275002</v>
      </c>
      <c r="G43" s="371">
        <f t="shared" si="7"/>
        <v>26.875771875000005</v>
      </c>
      <c r="H43" s="371">
        <f t="shared" si="7"/>
        <v>5.5766624423076614</v>
      </c>
      <c r="I43" s="371">
        <f t="shared" si="7"/>
        <v>144.55093148600002</v>
      </c>
      <c r="J43" s="371">
        <f>128/4</f>
        <v>32</v>
      </c>
      <c r="L43" s="371">
        <f>D43+E43+F43+G43+H43+I43+J43</f>
        <v>312.62529461375004</v>
      </c>
      <c r="M43" s="370">
        <v>76</v>
      </c>
      <c r="N43" s="367">
        <f>M43/L43</f>
        <v>0.24310252979976665</v>
      </c>
    </row>
    <row r="44" spans="2:16">
      <c r="C44" s="376" t="s">
        <v>291</v>
      </c>
      <c r="D44" s="375">
        <f t="shared" si="7"/>
        <v>25.656851409999987</v>
      </c>
      <c r="E44" s="375">
        <f t="shared" si="7"/>
        <v>77.812767799999946</v>
      </c>
      <c r="F44" s="375">
        <f t="shared" si="7"/>
        <v>22.901263334416655</v>
      </c>
      <c r="G44" s="375">
        <f t="shared" si="7"/>
        <v>24.740015970833323</v>
      </c>
      <c r="H44" s="375">
        <f t="shared" si="7"/>
        <v>11.521015187499989</v>
      </c>
      <c r="I44" s="375">
        <f t="shared" si="7"/>
        <v>133.48839951999989</v>
      </c>
      <c r="J44" s="375">
        <f>128/4</f>
        <v>32</v>
      </c>
      <c r="L44" s="375">
        <f>D44+E44+F44+G44+H44+I44+J44</f>
        <v>328.12031322274981</v>
      </c>
      <c r="M44" s="379">
        <v>119</v>
      </c>
      <c r="N44" s="378">
        <f>M44/L44</f>
        <v>0.3626718468942059</v>
      </c>
    </row>
    <row r="45" spans="2:16">
      <c r="C45" s="373">
        <v>2016</v>
      </c>
      <c r="D45" s="372">
        <f t="shared" ref="D45:J45" si="8">SUM(D41:D44)</f>
        <v>68.249482654230775</v>
      </c>
      <c r="E45" s="372">
        <f>SUM(E41:E44)</f>
        <v>256.5458539</v>
      </c>
      <c r="F45" s="372">
        <f t="shared" si="8"/>
        <v>128.72598810307821</v>
      </c>
      <c r="G45" s="372">
        <f t="shared" si="8"/>
        <v>58.908950922756404</v>
      </c>
      <c r="H45" s="372">
        <f t="shared" si="8"/>
        <v>37.928576318269208</v>
      </c>
      <c r="I45" s="372">
        <f t="shared" si="8"/>
        <v>599.72724107799991</v>
      </c>
      <c r="J45" s="372">
        <f t="shared" si="8"/>
        <v>128</v>
      </c>
      <c r="L45" s="372">
        <f>SUM(L41:L44)</f>
        <v>1278.0860929763346</v>
      </c>
      <c r="M45" s="372">
        <f>SUM(M41:M44)</f>
        <v>446</v>
      </c>
      <c r="N45" s="367">
        <f>M45/L45</f>
        <v>0.34895927782249819</v>
      </c>
    </row>
    <row r="46" spans="2:16">
      <c r="C46" s="369"/>
      <c r="D46" s="371"/>
      <c r="E46" s="371"/>
      <c r="F46" s="371"/>
      <c r="G46" s="371"/>
      <c r="H46" s="371"/>
      <c r="I46" s="371"/>
      <c r="J46" s="371"/>
      <c r="L46" s="371"/>
      <c r="M46" s="370"/>
      <c r="N46" s="367"/>
    </row>
    <row r="47" spans="2:16">
      <c r="C47" s="369" t="s">
        <v>290</v>
      </c>
      <c r="D47" s="371">
        <f t="shared" ref="D47:I50" si="9">D9*D21/1000</f>
        <v>22.636149229230764</v>
      </c>
      <c r="E47" s="371">
        <f t="shared" si="9"/>
        <v>73.404325499999999</v>
      </c>
      <c r="F47" s="371">
        <f t="shared" si="9"/>
        <v>48.02871360000001</v>
      </c>
      <c r="G47" s="371">
        <f t="shared" si="9"/>
        <v>49.046074440000005</v>
      </c>
      <c r="H47" s="371">
        <f t="shared" si="9"/>
        <v>0.79495522115384687</v>
      </c>
      <c r="I47" s="371">
        <f t="shared" si="9"/>
        <v>161.94243108399999</v>
      </c>
      <c r="J47" s="371">
        <f>128/4</f>
        <v>32</v>
      </c>
      <c r="L47" s="371">
        <f>D47+E47+F47+G47+H47+I47+J47</f>
        <v>387.85264907438466</v>
      </c>
      <c r="M47" s="370">
        <v>126</v>
      </c>
      <c r="N47" s="367">
        <f>M47/L47</f>
        <v>0.32486564240492005</v>
      </c>
      <c r="O47" s="367">
        <f>L47/L41-1</f>
        <v>0.14504885778796961</v>
      </c>
      <c r="P47" s="367">
        <f>M47/M41-1</f>
        <v>-8.6956521739130488E-2</v>
      </c>
    </row>
    <row r="48" spans="2:16">
      <c r="C48" s="369" t="s">
        <v>289</v>
      </c>
      <c r="D48" s="371">
        <f t="shared" si="9"/>
        <v>22.821360913333329</v>
      </c>
      <c r="E48" s="371">
        <f t="shared" si="9"/>
        <v>49.146286000000011</v>
      </c>
      <c r="F48" s="371">
        <f t="shared" si="9"/>
        <v>42.554234666666666</v>
      </c>
      <c r="G48" s="371">
        <f t="shared" si="9"/>
        <v>56.547443260000001</v>
      </c>
      <c r="H48" s="371">
        <f t="shared" si="9"/>
        <v>7.8921976999999996</v>
      </c>
      <c r="I48" s="371">
        <f t="shared" si="9"/>
        <v>158.58902150199998</v>
      </c>
      <c r="J48" s="371">
        <f>128/4</f>
        <v>32</v>
      </c>
      <c r="L48" s="371">
        <f>D48+E48+F48+G48+H48+I48+J48</f>
        <v>369.55054404199996</v>
      </c>
      <c r="M48" s="371">
        <f>L48*N48</f>
        <v>123.79943225407</v>
      </c>
      <c r="N48" s="377">
        <v>0.33500000000000002</v>
      </c>
      <c r="O48" s="367">
        <f t="shared" ref="O48:P50" si="10">L48/L42-1</f>
        <v>0.23753191659224115</v>
      </c>
      <c r="P48" s="367">
        <f t="shared" si="10"/>
        <v>9.5570196938672636E-2</v>
      </c>
    </row>
    <row r="49" spans="2:16">
      <c r="C49" s="369" t="s">
        <v>288</v>
      </c>
      <c r="D49" s="371">
        <f t="shared" si="9"/>
        <v>26.013986533333334</v>
      </c>
      <c r="E49" s="371">
        <f t="shared" si="9"/>
        <v>58.507483333333347</v>
      </c>
      <c r="F49" s="371">
        <f t="shared" si="9"/>
        <v>55.647845333333329</v>
      </c>
      <c r="G49" s="371">
        <f t="shared" si="9"/>
        <v>60.116883200000004</v>
      </c>
      <c r="H49" s="371">
        <f t="shared" si="9"/>
        <v>8.5638740999999996</v>
      </c>
      <c r="I49" s="371">
        <f t="shared" si="9"/>
        <v>163.34075248333332</v>
      </c>
      <c r="J49" s="371">
        <f>128/4</f>
        <v>32</v>
      </c>
      <c r="L49" s="371">
        <f>D49+E49+F49+G49+H49+I49+J49</f>
        <v>404.1908249833333</v>
      </c>
      <c r="M49" s="371">
        <v>130</v>
      </c>
      <c r="N49" s="377">
        <v>0.36499999999999999</v>
      </c>
      <c r="O49" s="367">
        <f t="shared" si="10"/>
        <v>0.29289226414872438</v>
      </c>
      <c r="P49" s="367">
        <f t="shared" si="10"/>
        <v>0.71052631578947367</v>
      </c>
    </row>
    <row r="50" spans="2:16">
      <c r="C50" s="376" t="s">
        <v>287</v>
      </c>
      <c r="D50" s="375">
        <f t="shared" si="9"/>
        <v>28.378894399999997</v>
      </c>
      <c r="E50" s="375">
        <f t="shared" si="9"/>
        <v>61.432857500000011</v>
      </c>
      <c r="F50" s="375">
        <f t="shared" si="9"/>
        <v>62.194650666666661</v>
      </c>
      <c r="G50" s="375">
        <f t="shared" si="9"/>
        <v>60.116883200000004</v>
      </c>
      <c r="H50" s="375">
        <f t="shared" si="9"/>
        <v>8.5638740999999996</v>
      </c>
      <c r="I50" s="375">
        <f t="shared" si="9"/>
        <v>166.31058434666667</v>
      </c>
      <c r="J50" s="375">
        <f>128/4</f>
        <v>32</v>
      </c>
      <c r="L50" s="375">
        <f>D50+E50+F50+G50+H50+I50+J50</f>
        <v>418.99774421333336</v>
      </c>
      <c r="M50" s="375">
        <f>L50*N50</f>
        <v>162.15212701056001</v>
      </c>
      <c r="N50" s="374">
        <v>0.38700000000000001</v>
      </c>
      <c r="O50" s="367">
        <f t="shared" si="10"/>
        <v>0.27696374570046789</v>
      </c>
      <c r="P50" s="367">
        <f t="shared" si="10"/>
        <v>0.3626229160551262</v>
      </c>
    </row>
    <row r="51" spans="2:16">
      <c r="C51" s="373">
        <v>2017</v>
      </c>
      <c r="D51" s="372">
        <f t="shared" ref="D51:J51" si="11">SUM(D47:D50)</f>
        <v>99.85039107589742</v>
      </c>
      <c r="E51" s="372">
        <f t="shared" si="11"/>
        <v>242.49095233333335</v>
      </c>
      <c r="F51" s="372">
        <f t="shared" si="11"/>
        <v>208.42544426666666</v>
      </c>
      <c r="G51" s="372">
        <f t="shared" si="11"/>
        <v>225.82728410000004</v>
      </c>
      <c r="H51" s="372">
        <f t="shared" si="11"/>
        <v>25.814901121153845</v>
      </c>
      <c r="I51" s="372">
        <f t="shared" si="11"/>
        <v>650.18278941599999</v>
      </c>
      <c r="J51" s="372">
        <f t="shared" si="11"/>
        <v>128</v>
      </c>
      <c r="L51" s="372">
        <f>SUM(L47:L50)</f>
        <v>1580.5917623130513</v>
      </c>
      <c r="M51" s="372">
        <f>SUM(M47:M50)</f>
        <v>541.95155926462996</v>
      </c>
      <c r="N51" s="367">
        <f>M51/L51</f>
        <v>0.34287889649097847</v>
      </c>
    </row>
    <row r="52" spans="2:16">
      <c r="C52" s="373"/>
      <c r="D52" s="372"/>
      <c r="E52" s="372"/>
      <c r="F52" s="372"/>
      <c r="G52" s="372"/>
      <c r="H52" s="372"/>
      <c r="I52" s="372"/>
      <c r="J52" s="372"/>
      <c r="L52" s="372"/>
      <c r="M52" s="372"/>
      <c r="N52" s="367"/>
    </row>
    <row r="53" spans="2:16">
      <c r="B53" s="366" t="s">
        <v>302</v>
      </c>
      <c r="C53" s="369" t="s">
        <v>294</v>
      </c>
      <c r="L53" s="371">
        <f>L41</f>
        <v>338.72148462175392</v>
      </c>
      <c r="M53" s="370">
        <f>M41</f>
        <v>138</v>
      </c>
      <c r="N53" s="367">
        <f>M53/L53</f>
        <v>0.40741436922462387</v>
      </c>
    </row>
    <row r="54" spans="2:16">
      <c r="C54" s="369" t="s">
        <v>301</v>
      </c>
      <c r="L54" s="371">
        <f t="shared" ref="L54:M56" si="12">L53+L42</f>
        <v>637.34048513983475</v>
      </c>
      <c r="M54" s="370">
        <f t="shared" si="12"/>
        <v>251</v>
      </c>
      <c r="N54" s="367">
        <f>M54/L54</f>
        <v>0.39382403260469123</v>
      </c>
    </row>
    <row r="55" spans="2:16">
      <c r="C55" s="369" t="s">
        <v>300</v>
      </c>
      <c r="L55" s="371">
        <f t="shared" si="12"/>
        <v>949.9657797535848</v>
      </c>
      <c r="M55" s="370">
        <f t="shared" si="12"/>
        <v>327</v>
      </c>
      <c r="N55" s="367">
        <f>M55/L55</f>
        <v>0.34422292567719837</v>
      </c>
    </row>
    <row r="56" spans="2:16">
      <c r="C56" s="369" t="s">
        <v>299</v>
      </c>
      <c r="L56" s="371">
        <f t="shared" si="12"/>
        <v>1278.0860929763346</v>
      </c>
      <c r="M56" s="370">
        <f t="shared" si="12"/>
        <v>446</v>
      </c>
      <c r="N56" s="367">
        <f>M56/L56</f>
        <v>0.34895927782249819</v>
      </c>
    </row>
    <row r="57" spans="2:16">
      <c r="C57" s="369"/>
      <c r="L57" s="371"/>
      <c r="M57" s="370"/>
      <c r="N57" s="367"/>
    </row>
    <row r="58" spans="2:16">
      <c r="C58" s="369" t="s">
        <v>290</v>
      </c>
      <c r="L58" s="371">
        <f>L47</f>
        <v>387.85264907438466</v>
      </c>
      <c r="M58" s="370">
        <f>M47</f>
        <v>126</v>
      </c>
      <c r="N58" s="367">
        <f>M58/L58</f>
        <v>0.32486564240492005</v>
      </c>
      <c r="O58" s="367">
        <f t="shared" ref="O58:P60" si="13">L58/L53-1</f>
        <v>0.14504885778796961</v>
      </c>
      <c r="P58" s="367">
        <f t="shared" si="13"/>
        <v>-8.6956521739130488E-2</v>
      </c>
    </row>
    <row r="59" spans="2:16">
      <c r="C59" s="369" t="s">
        <v>298</v>
      </c>
      <c r="L59" s="371">
        <f t="shared" ref="L59:M61" si="14">L58+L48</f>
        <v>757.40319311638461</v>
      </c>
      <c r="M59" s="371">
        <f t="shared" si="14"/>
        <v>249.79943225406998</v>
      </c>
      <c r="N59" s="367">
        <f>M59/L59</f>
        <v>0.32981037646046091</v>
      </c>
      <c r="O59" s="367">
        <f t="shared" si="13"/>
        <v>0.18838079609866254</v>
      </c>
      <c r="P59" s="367">
        <f t="shared" si="13"/>
        <v>-4.7831384300001112E-3</v>
      </c>
    </row>
    <row r="60" spans="2:16">
      <c r="C60" s="369" t="s">
        <v>297</v>
      </c>
      <c r="L60" s="371">
        <f t="shared" si="14"/>
        <v>1161.5940180997179</v>
      </c>
      <c r="M60" s="371">
        <f t="shared" si="14"/>
        <v>379.79943225406998</v>
      </c>
      <c r="N60" s="367">
        <f>M60/L60</f>
        <v>0.32696400492436578</v>
      </c>
      <c r="O60" s="367">
        <f t="shared" si="13"/>
        <v>0.2227745913132031</v>
      </c>
      <c r="P60" s="367">
        <f t="shared" si="13"/>
        <v>0.1614661536821711</v>
      </c>
    </row>
    <row r="61" spans="2:16">
      <c r="C61" s="369" t="s">
        <v>296</v>
      </c>
      <c r="L61" s="371">
        <f t="shared" si="14"/>
        <v>1580.5917623130513</v>
      </c>
      <c r="M61" s="371">
        <f t="shared" si="14"/>
        <v>541.95155926462996</v>
      </c>
      <c r="N61" s="367">
        <f>M61/L61</f>
        <v>0.34287889649097847</v>
      </c>
      <c r="O61" s="367">
        <f>L61/L56-1</f>
        <v>0.23668645719495984</v>
      </c>
      <c r="P61" s="367">
        <f>M61/M56-1</f>
        <v>0.21513802525701786</v>
      </c>
    </row>
    <row r="62" spans="2:16">
      <c r="L62" s="370"/>
      <c r="M62" s="370"/>
      <c r="N62" s="370"/>
    </row>
    <row r="63" spans="2:16">
      <c r="B63" s="366" t="s">
        <v>295</v>
      </c>
      <c r="C63" s="369" t="s">
        <v>294</v>
      </c>
      <c r="D63" s="370">
        <v>74.56</v>
      </c>
      <c r="E63" s="370"/>
    </row>
    <row r="64" spans="2:16">
      <c r="C64" s="369" t="s">
        <v>293</v>
      </c>
      <c r="D64" s="370">
        <v>65.83</v>
      </c>
      <c r="E64" s="370"/>
    </row>
    <row r="65" spans="2:6">
      <c r="C65" s="369" t="s">
        <v>292</v>
      </c>
      <c r="D65" s="370">
        <v>64.59</v>
      </c>
      <c r="E65" s="370"/>
    </row>
    <row r="66" spans="2:6">
      <c r="C66" s="369" t="s">
        <v>291</v>
      </c>
      <c r="D66" s="370">
        <v>62.98</v>
      </c>
      <c r="E66" s="370"/>
    </row>
    <row r="67" spans="2:6">
      <c r="C67" s="369" t="s">
        <v>290</v>
      </c>
      <c r="D67" s="370">
        <v>58.75</v>
      </c>
      <c r="E67" s="367">
        <f>D67/D63-1</f>
        <v>-0.21204399141630903</v>
      </c>
    </row>
    <row r="68" spans="2:6">
      <c r="C68" s="369" t="s">
        <v>289</v>
      </c>
      <c r="D68" s="370">
        <v>58.01</v>
      </c>
      <c r="E68" s="367">
        <f>D68/D64-1</f>
        <v>-0.1187908248518913</v>
      </c>
    </row>
    <row r="69" spans="2:6">
      <c r="C69" s="369" t="s">
        <v>288</v>
      </c>
      <c r="D69" s="368">
        <v>60</v>
      </c>
      <c r="E69" s="367">
        <f>D69/D65-1</f>
        <v>-7.1063632141198374E-2</v>
      </c>
    </row>
    <row r="70" spans="2:6">
      <c r="C70" s="369" t="s">
        <v>287</v>
      </c>
      <c r="D70" s="368">
        <v>63</v>
      </c>
      <c r="E70" s="367">
        <f>D70/D66-1</f>
        <v>3.175611305177295E-4</v>
      </c>
    </row>
    <row r="77" spans="2:6">
      <c r="B77" s="391">
        <v>39569</v>
      </c>
      <c r="C77" s="391">
        <v>39569</v>
      </c>
      <c r="D77" s="390">
        <v>585</v>
      </c>
      <c r="E77" s="390">
        <v>345</v>
      </c>
      <c r="F77" s="394">
        <v>292.5</v>
      </c>
    </row>
    <row r="78" spans="2:6">
      <c r="B78" s="391">
        <v>39576</v>
      </c>
      <c r="C78" s="391">
        <v>39576</v>
      </c>
      <c r="D78" s="390">
        <v>592</v>
      </c>
      <c r="E78" s="390">
        <v>345</v>
      </c>
      <c r="F78" s="394">
        <v>295</v>
      </c>
    </row>
    <row r="79" spans="2:6">
      <c r="B79" s="391">
        <v>39583</v>
      </c>
      <c r="C79" s="391">
        <v>39583</v>
      </c>
      <c r="D79" s="390">
        <v>612.5</v>
      </c>
      <c r="E79" s="390">
        <v>355</v>
      </c>
      <c r="F79" s="394">
        <v>317.5</v>
      </c>
    </row>
    <row r="80" spans="2:6">
      <c r="B80" s="391">
        <v>39597</v>
      </c>
      <c r="C80" s="391">
        <v>39597</v>
      </c>
      <c r="D80" s="390">
        <v>620</v>
      </c>
      <c r="E80" s="390">
        <v>355</v>
      </c>
      <c r="F80" s="394">
        <v>345</v>
      </c>
    </row>
    <row r="81" spans="2:6">
      <c r="B81" s="391">
        <v>39604</v>
      </c>
      <c r="C81" s="391">
        <v>39604</v>
      </c>
      <c r="D81" s="390">
        <v>617</v>
      </c>
      <c r="E81" s="390">
        <v>340</v>
      </c>
      <c r="F81" s="394">
        <v>390</v>
      </c>
    </row>
    <row r="82" spans="2:6">
      <c r="B82" s="391">
        <v>39611</v>
      </c>
      <c r="C82" s="391">
        <v>39611</v>
      </c>
      <c r="D82" s="390">
        <v>607.5</v>
      </c>
      <c r="E82" s="390">
        <v>325</v>
      </c>
      <c r="F82" s="394">
        <v>402.5</v>
      </c>
    </row>
    <row r="83" spans="2:6">
      <c r="B83" s="391">
        <v>39618</v>
      </c>
      <c r="C83" s="391">
        <v>39618</v>
      </c>
      <c r="D83" s="390">
        <v>607.5</v>
      </c>
      <c r="E83" s="390">
        <v>310</v>
      </c>
      <c r="F83" s="394">
        <v>402.5</v>
      </c>
    </row>
    <row r="84" spans="2:6">
      <c r="B84" s="391">
        <v>39625</v>
      </c>
      <c r="C84" s="391">
        <v>39625</v>
      </c>
      <c r="D84" s="390">
        <v>619</v>
      </c>
      <c r="E84" s="390">
        <v>310</v>
      </c>
      <c r="F84" s="394">
        <v>402.5</v>
      </c>
    </row>
    <row r="85" spans="2:6">
      <c r="B85" s="391">
        <v>39632</v>
      </c>
      <c r="C85" s="391">
        <v>39632</v>
      </c>
      <c r="D85" s="390">
        <v>644</v>
      </c>
      <c r="E85" s="390">
        <v>315.5</v>
      </c>
      <c r="F85" s="394">
        <v>402.5</v>
      </c>
    </row>
    <row r="86" spans="2:6">
      <c r="B86" s="391">
        <v>39639</v>
      </c>
      <c r="C86" s="391">
        <v>39639</v>
      </c>
      <c r="D86" s="390">
        <v>722.5</v>
      </c>
      <c r="E86" s="390">
        <v>345</v>
      </c>
      <c r="F86" s="394">
        <v>402.5</v>
      </c>
    </row>
    <row r="87" spans="2:6">
      <c r="B87" s="391">
        <v>39646</v>
      </c>
      <c r="C87" s="391">
        <v>39646</v>
      </c>
      <c r="D87" s="390">
        <v>770</v>
      </c>
      <c r="E87" s="390">
        <v>390</v>
      </c>
      <c r="F87" s="394">
        <v>402.5</v>
      </c>
    </row>
    <row r="88" spans="2:6">
      <c r="B88" s="391">
        <v>39653</v>
      </c>
      <c r="C88" s="391">
        <v>39653</v>
      </c>
      <c r="D88" s="390">
        <v>777.5</v>
      </c>
      <c r="E88" s="390">
        <v>445</v>
      </c>
      <c r="F88" s="394">
        <v>402.5</v>
      </c>
    </row>
    <row r="89" spans="2:6">
      <c r="B89" s="391">
        <v>39660</v>
      </c>
      <c r="C89" s="391">
        <v>39660</v>
      </c>
      <c r="D89" s="390">
        <v>796.5</v>
      </c>
      <c r="E89" s="390">
        <v>460</v>
      </c>
      <c r="F89" s="394">
        <v>402.5</v>
      </c>
    </row>
    <row r="90" spans="2:6">
      <c r="B90" s="391">
        <v>39667</v>
      </c>
      <c r="C90" s="391">
        <v>39667</v>
      </c>
      <c r="D90" s="390">
        <v>796.5</v>
      </c>
      <c r="E90" s="390">
        <v>470</v>
      </c>
      <c r="F90" s="394">
        <v>442.5</v>
      </c>
    </row>
    <row r="91" spans="2:6">
      <c r="B91" s="391">
        <v>39674</v>
      </c>
      <c r="C91" s="391">
        <v>39674</v>
      </c>
      <c r="D91" s="390">
        <v>771.5</v>
      </c>
      <c r="E91" s="390">
        <v>505</v>
      </c>
      <c r="F91" s="394">
        <v>442.5</v>
      </c>
    </row>
    <row r="92" spans="2:6">
      <c r="B92" s="391">
        <v>39681</v>
      </c>
      <c r="C92" s="391">
        <v>39681</v>
      </c>
      <c r="D92" s="390">
        <v>715</v>
      </c>
      <c r="E92" s="390">
        <v>505</v>
      </c>
      <c r="F92" s="394">
        <v>460</v>
      </c>
    </row>
    <row r="93" spans="2:6">
      <c r="B93" s="391">
        <v>39688</v>
      </c>
      <c r="C93" s="391">
        <v>39688</v>
      </c>
      <c r="D93" s="390">
        <v>712.5</v>
      </c>
      <c r="E93" s="390">
        <v>490</v>
      </c>
      <c r="F93" s="394">
        <v>517.5</v>
      </c>
    </row>
    <row r="94" spans="2:6">
      <c r="B94" s="391">
        <v>39695</v>
      </c>
      <c r="C94" s="391">
        <v>39695</v>
      </c>
      <c r="D94" s="390">
        <v>735</v>
      </c>
      <c r="E94" s="390">
        <v>480</v>
      </c>
      <c r="F94" s="394">
        <v>517.5</v>
      </c>
    </row>
    <row r="95" spans="2:6">
      <c r="B95" s="391">
        <v>39702</v>
      </c>
      <c r="C95" s="391">
        <v>39702</v>
      </c>
      <c r="D95" s="390">
        <v>709</v>
      </c>
      <c r="E95" s="390">
        <v>460</v>
      </c>
      <c r="F95" s="394">
        <v>517.5</v>
      </c>
    </row>
    <row r="96" spans="2:6">
      <c r="B96" s="391">
        <v>39709</v>
      </c>
      <c r="C96" s="391">
        <v>39709</v>
      </c>
      <c r="D96" s="390">
        <v>690</v>
      </c>
      <c r="E96" s="390">
        <v>375</v>
      </c>
      <c r="F96" s="394">
        <v>517.5</v>
      </c>
    </row>
    <row r="97" spans="2:6">
      <c r="B97" s="391">
        <v>39716</v>
      </c>
      <c r="C97" s="391">
        <v>39716</v>
      </c>
      <c r="D97" s="390">
        <v>610</v>
      </c>
      <c r="E97" s="390">
        <v>360</v>
      </c>
      <c r="F97" s="394">
        <v>517.5</v>
      </c>
    </row>
    <row r="98" spans="2:6">
      <c r="B98" s="391">
        <v>39723</v>
      </c>
      <c r="C98" s="391">
        <v>39723</v>
      </c>
      <c r="D98" s="390">
        <v>565</v>
      </c>
      <c r="E98" s="390">
        <v>350</v>
      </c>
      <c r="F98" s="394">
        <v>517.5</v>
      </c>
    </row>
    <row r="99" spans="2:6">
      <c r="B99" s="391">
        <v>39730</v>
      </c>
      <c r="C99" s="391">
        <v>39730</v>
      </c>
      <c r="D99" s="390">
        <v>530</v>
      </c>
      <c r="E99" s="390">
        <v>335</v>
      </c>
      <c r="F99" s="394">
        <v>497.5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S36"/>
  <sheetViews>
    <sheetView topLeftCell="A37" workbookViewId="0">
      <selection activeCell="I7" sqref="I7"/>
    </sheetView>
  </sheetViews>
  <sheetFormatPr defaultRowHeight="15"/>
  <cols>
    <col min="1" max="1" width="32.42578125" style="1" customWidth="1"/>
    <col min="2" max="12" width="9.140625" style="285"/>
    <col min="13" max="16384" width="9.140625" style="1"/>
  </cols>
  <sheetData>
    <row r="1" spans="1:17">
      <c r="A1" s="1" t="s">
        <v>203</v>
      </c>
      <c r="B1" s="285">
        <v>2005</v>
      </c>
      <c r="C1" s="285">
        <v>2006</v>
      </c>
      <c r="D1" s="285">
        <v>2007</v>
      </c>
      <c r="E1" s="285">
        <v>2008</v>
      </c>
      <c r="F1" s="285">
        <v>2009</v>
      </c>
      <c r="G1" s="285">
        <v>2010</v>
      </c>
      <c r="H1" s="285">
        <v>2011</v>
      </c>
      <c r="I1" s="285">
        <v>2012</v>
      </c>
      <c r="J1" s="285">
        <v>2013</v>
      </c>
      <c r="K1" s="285">
        <v>2014</v>
      </c>
      <c r="L1" s="285">
        <v>2015</v>
      </c>
      <c r="M1" s="1">
        <v>2016</v>
      </c>
      <c r="N1" s="1">
        <v>2017</v>
      </c>
      <c r="O1" s="1">
        <v>2018</v>
      </c>
      <c r="P1" s="1">
        <v>2019</v>
      </c>
      <c r="Q1" s="1">
        <v>2020</v>
      </c>
    </row>
    <row r="3" spans="1:17">
      <c r="F3" s="286">
        <v>135.41971653543305</v>
      </c>
      <c r="G3" s="286">
        <v>231.62055335968381</v>
      </c>
      <c r="H3" s="286">
        <v>498.69387755102036</v>
      </c>
      <c r="I3" s="286">
        <v>475.03460708881977</v>
      </c>
      <c r="J3" s="286">
        <v>327.54205372834554</v>
      </c>
      <c r="K3" s="286">
        <v>345.18250064716523</v>
      </c>
      <c r="L3" s="286">
        <v>471.44256514073004</v>
      </c>
      <c r="M3" s="142">
        <v>379.43358796136164</v>
      </c>
      <c r="N3" s="142">
        <v>436.90171169814079</v>
      </c>
      <c r="O3" s="142">
        <v>436.55152124584401</v>
      </c>
      <c r="P3" s="142">
        <v>449.88404811775837</v>
      </c>
      <c r="Q3" s="142">
        <v>466.25740623776784</v>
      </c>
    </row>
    <row r="4" spans="1:17">
      <c r="F4" s="286">
        <v>223.03754330708657</v>
      </c>
      <c r="G4" s="286">
        <v>287.94466403162062</v>
      </c>
      <c r="H4" s="286">
        <v>490.61224489795916</v>
      </c>
      <c r="I4" s="286">
        <v>426.52029746000085</v>
      </c>
      <c r="J4" s="286">
        <v>262.08260105448164</v>
      </c>
      <c r="K4" s="286">
        <v>339.45120372767252</v>
      </c>
      <c r="L4" s="286">
        <v>483.51074250636708</v>
      </c>
      <c r="M4" s="142">
        <v>322.79824509179156</v>
      </c>
      <c r="N4" s="142">
        <v>394.36808170576893</v>
      </c>
      <c r="O4" s="142">
        <v>408.0257226300605</v>
      </c>
      <c r="P4" s="142">
        <v>428.38757390313856</v>
      </c>
      <c r="Q4" s="142">
        <v>448.56448787496635</v>
      </c>
    </row>
    <row r="5" spans="1:17">
      <c r="F5" s="287">
        <f>3:3/F18</f>
        <v>5.2298267843466265E-2</v>
      </c>
      <c r="G5" s="287">
        <f t="shared" ref="G5:L5" si="0">3:3/G18</f>
        <v>7.8628127004881476E-2</v>
      </c>
      <c r="H5" s="287">
        <f t="shared" si="0"/>
        <v>0.13976674516052515</v>
      </c>
      <c r="I5" s="287">
        <f t="shared" si="0"/>
        <v>0.10015695513379781</v>
      </c>
      <c r="J5" s="287">
        <f t="shared" si="0"/>
        <v>9.84882130088819E-2</v>
      </c>
      <c r="K5" s="287">
        <f t="shared" si="0"/>
        <v>0.1089576913695411</v>
      </c>
      <c r="L5" s="287">
        <f t="shared" si="0"/>
        <v>0.13188935620532929</v>
      </c>
      <c r="M5" s="287">
        <f>3:3/$K$18</f>
        <v>0.11976912993799296</v>
      </c>
      <c r="N5" s="287">
        <f t="shared" ref="N5:Q5" si="1">3:3/$K$18</f>
        <v>0.13790908221818976</v>
      </c>
      <c r="O5" s="287">
        <f t="shared" si="1"/>
        <v>0.13779854375476716</v>
      </c>
      <c r="P5" s="287">
        <f t="shared" si="1"/>
        <v>0.14200698811496096</v>
      </c>
      <c r="Q5" s="287">
        <f t="shared" si="1"/>
        <v>0.14717527821477258</v>
      </c>
    </row>
    <row r="6" spans="1:17">
      <c r="A6" s="288" t="s">
        <v>218</v>
      </c>
      <c r="F6" s="287">
        <f>4:4/17:17</f>
        <v>0.16451126699293947</v>
      </c>
      <c r="G6" s="287">
        <f t="shared" ref="G6:K6" si="2">4:4/17:17</f>
        <v>0.16253419732173033</v>
      </c>
      <c r="H6" s="287">
        <f t="shared" si="2"/>
        <v>0.24850353795065855</v>
      </c>
      <c r="I6" s="287">
        <f t="shared" si="2"/>
        <v>0.19397203191750384</v>
      </c>
      <c r="J6" s="287">
        <f t="shared" si="2"/>
        <v>0.18850575218391449</v>
      </c>
      <c r="K6" s="287">
        <f t="shared" si="2"/>
        <v>0.25927185061447677</v>
      </c>
      <c r="L6" s="287">
        <f>4:4/17:17</f>
        <v>0.2318919670198184</v>
      </c>
      <c r="M6" s="287">
        <f>4:4/AVERAGE($I$7:$J$7)</f>
        <v>0.15731512963435407</v>
      </c>
      <c r="N6" s="287">
        <f t="shared" ref="N6:Q6" si="3">4:4/AVERAGE($I$7:$J$7)</f>
        <v>0.19219455756196177</v>
      </c>
      <c r="O6" s="287">
        <f t="shared" si="3"/>
        <v>0.19885058368717634</v>
      </c>
      <c r="P6" s="287">
        <f t="shared" si="3"/>
        <v>0.2087738943659839</v>
      </c>
      <c r="Q6" s="287">
        <f t="shared" si="3"/>
        <v>0.2186070761919777</v>
      </c>
    </row>
    <row r="7" spans="1:17">
      <c r="A7" s="1" t="s">
        <v>22</v>
      </c>
      <c r="F7" s="286">
        <v>1282.45156458056</v>
      </c>
      <c r="G7" s="286">
        <v>1641.4446373014573</v>
      </c>
      <c r="H7" s="286">
        <v>1564.0012445550715</v>
      </c>
      <c r="I7" s="286">
        <v>2088.4483667017917</v>
      </c>
      <c r="J7" s="286">
        <v>2015.3939762701552</v>
      </c>
      <c r="K7" s="286">
        <v>1253.3684098261581</v>
      </c>
      <c r="L7" s="286">
        <v>1166.0654723274522</v>
      </c>
      <c r="M7" s="142">
        <v>1589.4346797925484</v>
      </c>
      <c r="N7" s="142">
        <v>1912.575070423369</v>
      </c>
      <c r="O7" s="142">
        <v>2026.5629632488067</v>
      </c>
      <c r="P7" s="142">
        <v>2077.6108818497441</v>
      </c>
      <c r="Q7" s="142">
        <v>2131.5072973049678</v>
      </c>
    </row>
    <row r="8" spans="1:17">
      <c r="A8" s="1" t="s">
        <v>70</v>
      </c>
      <c r="F8" s="286">
        <v>1355.758468</v>
      </c>
      <c r="G8" s="286">
        <v>1771.5943400000001</v>
      </c>
      <c r="H8" s="286">
        <v>1974.2666400000001</v>
      </c>
      <c r="I8" s="286">
        <v>2198.8752360000003</v>
      </c>
      <c r="J8" s="286">
        <v>1390.3161999999998</v>
      </c>
      <c r="K8" s="286">
        <v>1309.2481999999998</v>
      </c>
      <c r="L8" s="286">
        <v>2085.0689600000001</v>
      </c>
      <c r="M8" s="142">
        <v>2273.9573999999998</v>
      </c>
      <c r="N8" s="142">
        <v>2273.9573999999998</v>
      </c>
      <c r="O8" s="142">
        <v>2273.9573999999998</v>
      </c>
      <c r="P8" s="142">
        <v>2273.9573999999998</v>
      </c>
      <c r="Q8" s="142">
        <v>2273.9573999999998</v>
      </c>
    </row>
    <row r="9" spans="1:17">
      <c r="A9" s="1" t="s">
        <v>16</v>
      </c>
      <c r="F9" s="286">
        <v>2516.0659786950741</v>
      </c>
      <c r="G9" s="286">
        <v>2815.622531521205</v>
      </c>
      <c r="H9" s="286">
        <v>3157.778469197262</v>
      </c>
      <c r="I9" s="286">
        <v>4632.4749736564809</v>
      </c>
      <c r="J9" s="286">
        <v>3950.7757833891092</v>
      </c>
      <c r="K9" s="286">
        <v>3112.1618258736535</v>
      </c>
      <c r="L9" s="286">
        <v>2655.5273062057249</v>
      </c>
      <c r="M9" s="142">
        <v>3153.4988822553437</v>
      </c>
      <c r="N9" s="142">
        <v>3503.8461765154225</v>
      </c>
      <c r="O9" s="142">
        <v>3604.8951571780217</v>
      </c>
      <c r="P9" s="142">
        <v>3630.5825134616625</v>
      </c>
      <c r="Q9" s="142">
        <v>3658.8917604478884</v>
      </c>
    </row>
    <row r="11" spans="1:17">
      <c r="A11" s="1" t="s">
        <v>6</v>
      </c>
      <c r="F11" s="287">
        <v>5.38220053377403E-2</v>
      </c>
      <c r="G11" s="287">
        <v>8.2262643790730519E-2</v>
      </c>
      <c r="H11" s="287">
        <v>0.15792554240760062</v>
      </c>
      <c r="I11" s="287">
        <v>0.10254445189454914</v>
      </c>
      <c r="J11" s="287">
        <v>8.2905756156925942E-2</v>
      </c>
      <c r="K11" s="287">
        <v>0.11091405908825605</v>
      </c>
      <c r="L11" s="287">
        <v>0.17753256162684217</v>
      </c>
      <c r="M11" s="289">
        <v>0.12032145947361028</v>
      </c>
      <c r="N11" s="289">
        <v>0.12469203546276676</v>
      </c>
      <c r="O11" s="289">
        <v>0.12109964429245276</v>
      </c>
      <c r="P11" s="289">
        <v>0.12391511457174019</v>
      </c>
      <c r="Q11" s="289">
        <v>0.12743131985426451</v>
      </c>
    </row>
    <row r="12" spans="1:17">
      <c r="A12" s="1" t="s">
        <v>67</v>
      </c>
      <c r="F12" s="287">
        <v>0.17391498397838789</v>
      </c>
      <c r="G12" s="287">
        <v>0.19695956638014711</v>
      </c>
      <c r="H12" s="287">
        <v>0.30611170051250813</v>
      </c>
      <c r="I12" s="287">
        <v>0.23355300844970658</v>
      </c>
      <c r="J12" s="287">
        <v>0.12772547244818619</v>
      </c>
      <c r="K12" s="287">
        <v>0.20769402216051486</v>
      </c>
      <c r="L12" s="287">
        <v>0.39968915544489253</v>
      </c>
      <c r="M12" s="289">
        <v>0.23429375958730403</v>
      </c>
      <c r="N12" s="289">
        <v>0.22522386277277159</v>
      </c>
      <c r="O12" s="289">
        <v>0.20716497829840574</v>
      </c>
      <c r="P12" s="289">
        <v>0.20875703129132533</v>
      </c>
      <c r="Q12" s="289">
        <v>0.21313941247667628</v>
      </c>
    </row>
    <row r="13" spans="1:17">
      <c r="A13" s="1" t="s">
        <v>219</v>
      </c>
      <c r="F13" s="287">
        <f>AVERAGE(F11:L11)</f>
        <v>0.10970100290037781</v>
      </c>
      <c r="G13" s="287">
        <f>F13</f>
        <v>0.10970100290037781</v>
      </c>
      <c r="H13" s="287">
        <f t="shared" ref="H13:L14" si="4">G13</f>
        <v>0.10970100290037781</v>
      </c>
      <c r="I13" s="287">
        <f t="shared" si="4"/>
        <v>0.10970100290037781</v>
      </c>
      <c r="J13" s="287">
        <f t="shared" si="4"/>
        <v>0.10970100290037781</v>
      </c>
      <c r="K13" s="287">
        <f t="shared" si="4"/>
        <v>0.10970100290037781</v>
      </c>
      <c r="L13" s="287">
        <f t="shared" si="4"/>
        <v>0.10970100290037781</v>
      </c>
      <c r="M13" s="289">
        <f>L13</f>
        <v>0.10970100290037781</v>
      </c>
      <c r="N13" s="289">
        <f t="shared" ref="N13:Q14" si="5">M13</f>
        <v>0.10970100290037781</v>
      </c>
      <c r="O13" s="289">
        <f t="shared" si="5"/>
        <v>0.10970100290037781</v>
      </c>
      <c r="P13" s="289">
        <f t="shared" si="5"/>
        <v>0.10970100290037781</v>
      </c>
      <c r="Q13" s="289">
        <f t="shared" si="5"/>
        <v>0.10970100290037781</v>
      </c>
    </row>
    <row r="14" spans="1:17">
      <c r="A14" s="1" t="s">
        <v>220</v>
      </c>
      <c r="F14" s="287">
        <f>AVERAGE(F12:L12)</f>
        <v>0.23509255848204905</v>
      </c>
      <c r="G14" s="287">
        <f>F14</f>
        <v>0.23509255848204905</v>
      </c>
      <c r="H14" s="287">
        <f t="shared" si="4"/>
        <v>0.23509255848204905</v>
      </c>
      <c r="I14" s="287">
        <f t="shared" si="4"/>
        <v>0.23509255848204905</v>
      </c>
      <c r="J14" s="287">
        <f t="shared" si="4"/>
        <v>0.23509255848204905</v>
      </c>
      <c r="K14" s="287">
        <f t="shared" si="4"/>
        <v>0.23509255848204905</v>
      </c>
      <c r="L14" s="287">
        <f t="shared" si="4"/>
        <v>0.23509255848204905</v>
      </c>
      <c r="M14" s="289">
        <f>L14</f>
        <v>0.23509255848204905</v>
      </c>
      <c r="N14" s="289">
        <f t="shared" si="5"/>
        <v>0.23509255848204905</v>
      </c>
      <c r="O14" s="289">
        <f t="shared" si="5"/>
        <v>0.23509255848204905</v>
      </c>
      <c r="P14" s="289">
        <f t="shared" si="5"/>
        <v>0.23509255848204905</v>
      </c>
      <c r="Q14" s="289">
        <f t="shared" si="5"/>
        <v>0.23509255848204905</v>
      </c>
    </row>
    <row r="16" spans="1:17">
      <c r="A16" s="288" t="s">
        <v>221</v>
      </c>
    </row>
    <row r="17" spans="1:19">
      <c r="A17" s="1" t="s">
        <v>22</v>
      </c>
      <c r="F17" s="286">
        <v>1355.758468</v>
      </c>
      <c r="G17" s="286">
        <v>1771.5943400000001</v>
      </c>
      <c r="H17" s="286">
        <v>1974.2666400000001</v>
      </c>
      <c r="I17" s="286">
        <v>2198.8752360000003</v>
      </c>
      <c r="J17" s="286">
        <v>1390.3161999999998</v>
      </c>
      <c r="K17" s="286">
        <v>1309.2481999999998</v>
      </c>
      <c r="L17" s="286">
        <v>2085.0689600000001</v>
      </c>
      <c r="M17" s="142">
        <v>2610.8223749499234</v>
      </c>
      <c r="N17" s="142">
        <v>2972.6621752417377</v>
      </c>
      <c r="O17" s="142">
        <v>3068.0159980421881</v>
      </c>
      <c r="P17" s="142">
        <v>3082.7569416647798</v>
      </c>
      <c r="Q17" s="142">
        <v>3100.4600623905126</v>
      </c>
    </row>
    <row r="18" spans="1:19">
      <c r="A18" s="1" t="s">
        <v>16</v>
      </c>
      <c r="F18" s="286">
        <v>2589.3728821145141</v>
      </c>
      <c r="G18" s="286">
        <v>2945.772234219748</v>
      </c>
      <c r="H18" s="286">
        <v>3568.0438646421908</v>
      </c>
      <c r="I18" s="286">
        <v>4742.9018429546895</v>
      </c>
      <c r="J18" s="286">
        <v>3325.6980071189537</v>
      </c>
      <c r="K18" s="286">
        <v>3168.0416160474952</v>
      </c>
      <c r="L18" s="286">
        <v>3574.530793878273</v>
      </c>
      <c r="M18" s="142">
        <v>4174.8865774127189</v>
      </c>
      <c r="N18" s="142">
        <v>4563.9332813337915</v>
      </c>
      <c r="O18" s="142">
        <v>4646.3481919714031</v>
      </c>
      <c r="P18" s="142">
        <v>4635.7285732766986</v>
      </c>
      <c r="Q18" s="142">
        <v>4627.8445255334327</v>
      </c>
    </row>
    <row r="20" spans="1:19">
      <c r="A20" s="1" t="s">
        <v>6</v>
      </c>
      <c r="F20" s="287">
        <v>5.2298267843466265E-2</v>
      </c>
      <c r="G20" s="287">
        <v>7.8628127004881476E-2</v>
      </c>
      <c r="H20" s="287">
        <v>0.13976674516052515</v>
      </c>
      <c r="I20" s="287">
        <v>0.10015695513379781</v>
      </c>
      <c r="J20" s="287">
        <v>9.84882130088819E-2</v>
      </c>
      <c r="K20" s="287">
        <v>0.1089576913695411</v>
      </c>
      <c r="L20" s="287">
        <v>0.13188935620532929</v>
      </c>
      <c r="M20" s="289">
        <v>9.0884765592004674E-2</v>
      </c>
      <c r="N20" s="289">
        <v>9.5729206534425501E-2</v>
      </c>
      <c r="O20" s="289">
        <v>9.3955834390581736E-2</v>
      </c>
      <c r="P20" s="289">
        <v>9.7047107268354207E-2</v>
      </c>
      <c r="Q20" s="289">
        <v>0.10075044735519162</v>
      </c>
    </row>
    <row r="21" spans="1:19">
      <c r="A21" s="1" t="s">
        <v>67</v>
      </c>
      <c r="F21" s="287">
        <v>0.16451126699293947</v>
      </c>
      <c r="G21" s="287">
        <v>0.18414594176585183</v>
      </c>
      <c r="H21" s="287">
        <v>0.26194898717141346</v>
      </c>
      <c r="I21" s="287">
        <v>0.20441207614480864</v>
      </c>
      <c r="J21" s="287">
        <v>0.14603991217953058</v>
      </c>
      <c r="K21" s="287">
        <v>0.25148590915458258</v>
      </c>
      <c r="L21" s="287">
        <v>0.28489426280151564</v>
      </c>
      <c r="M21" s="289">
        <v>0.13748113917769517</v>
      </c>
      <c r="N21" s="289">
        <v>0.14126235262609679</v>
      </c>
      <c r="O21" s="289">
        <v>0.13509268692201931</v>
      </c>
      <c r="P21" s="289">
        <v>0.1392955253274388</v>
      </c>
      <c r="Q21" s="289">
        <v>0.14509097370536186</v>
      </c>
    </row>
    <row r="22" spans="1:19">
      <c r="A22" s="1" t="s">
        <v>219</v>
      </c>
      <c r="F22" s="287">
        <f>AVERAGE(F20:L20)</f>
        <v>0.10145505081806042</v>
      </c>
      <c r="G22" s="287">
        <f>F22</f>
        <v>0.10145505081806042</v>
      </c>
      <c r="H22" s="287">
        <f t="shared" ref="H22:L23" si="6">G22</f>
        <v>0.10145505081806042</v>
      </c>
      <c r="I22" s="287">
        <f t="shared" si="6"/>
        <v>0.10145505081806042</v>
      </c>
      <c r="J22" s="287">
        <f t="shared" si="6"/>
        <v>0.10145505081806042</v>
      </c>
      <c r="K22" s="287">
        <f t="shared" si="6"/>
        <v>0.10145505081806042</v>
      </c>
      <c r="L22" s="287">
        <f t="shared" si="6"/>
        <v>0.10145505081806042</v>
      </c>
      <c r="M22" s="289">
        <f>L22</f>
        <v>0.10145505081806042</v>
      </c>
      <c r="N22" s="289">
        <f t="shared" ref="N22:Q23" si="7">M22</f>
        <v>0.10145505081806042</v>
      </c>
      <c r="O22" s="289">
        <f t="shared" si="7"/>
        <v>0.10145505081806042</v>
      </c>
      <c r="P22" s="289">
        <f t="shared" si="7"/>
        <v>0.10145505081806042</v>
      </c>
      <c r="Q22" s="289">
        <f t="shared" si="7"/>
        <v>0.10145505081806042</v>
      </c>
    </row>
    <row r="23" spans="1:19">
      <c r="A23" s="1" t="s">
        <v>220</v>
      </c>
      <c r="F23" s="287">
        <f>AVERAGE(F21:L21)</f>
        <v>0.21391976517294889</v>
      </c>
      <c r="G23" s="287">
        <f>F23</f>
        <v>0.21391976517294889</v>
      </c>
      <c r="H23" s="287">
        <f t="shared" si="6"/>
        <v>0.21391976517294889</v>
      </c>
      <c r="I23" s="287">
        <f t="shared" si="6"/>
        <v>0.21391976517294889</v>
      </c>
      <c r="J23" s="287">
        <f t="shared" si="6"/>
        <v>0.21391976517294889</v>
      </c>
      <c r="K23" s="287">
        <f t="shared" si="6"/>
        <v>0.21391976517294889</v>
      </c>
      <c r="L23" s="287">
        <f t="shared" si="6"/>
        <v>0.21391976517294889</v>
      </c>
      <c r="M23" s="289">
        <f>L23</f>
        <v>0.21391976517294889</v>
      </c>
      <c r="N23" s="289">
        <f t="shared" si="7"/>
        <v>0.21391976517294889</v>
      </c>
      <c r="O23" s="289">
        <f t="shared" si="7"/>
        <v>0.21391976517294889</v>
      </c>
      <c r="P23" s="289">
        <f t="shared" si="7"/>
        <v>0.21391976517294889</v>
      </c>
      <c r="Q23" s="289">
        <f t="shared" si="7"/>
        <v>0.21391976517294889</v>
      </c>
    </row>
    <row r="24" spans="1:19">
      <c r="S24" s="142"/>
    </row>
    <row r="26" spans="1:19">
      <c r="A26" s="288" t="s">
        <v>222</v>
      </c>
    </row>
    <row r="27" spans="1:19">
      <c r="A27" s="1" t="s">
        <v>6</v>
      </c>
      <c r="F27" s="287">
        <v>5.38220053377403E-2</v>
      </c>
      <c r="G27" s="287">
        <v>8.2262643790730519E-2</v>
      </c>
      <c r="H27" s="287">
        <v>0.15792554240760062</v>
      </c>
      <c r="I27" s="287">
        <v>0.10254445189454914</v>
      </c>
      <c r="J27" s="287">
        <v>8.2905756156925942E-2</v>
      </c>
      <c r="K27" s="287">
        <v>0.11091405908825605</v>
      </c>
      <c r="L27" s="287">
        <v>0.17753256162684217</v>
      </c>
      <c r="M27" s="290">
        <v>0.109</v>
      </c>
      <c r="N27" s="289">
        <v>9.9000000000000005E-2</v>
      </c>
      <c r="O27" s="289">
        <v>9.5000000000000001E-2</v>
      </c>
      <c r="P27" s="289">
        <v>9.9000000000000005E-2</v>
      </c>
      <c r="Q27" s="289">
        <v>0.10299999999999999</v>
      </c>
    </row>
    <row r="28" spans="1:19">
      <c r="A28" s="1" t="s">
        <v>67</v>
      </c>
      <c r="F28" s="287">
        <v>0.17391498397838789</v>
      </c>
      <c r="G28" s="287">
        <v>0.19695956638014711</v>
      </c>
      <c r="H28" s="287">
        <v>0.30611170051250813</v>
      </c>
      <c r="I28" s="287">
        <v>0.23355300844970658</v>
      </c>
      <c r="J28" s="287">
        <v>0.12772547244818619</v>
      </c>
      <c r="K28" s="287">
        <v>0.20769402216051486</v>
      </c>
      <c r="L28" s="287">
        <v>0.39968915544489253</v>
      </c>
      <c r="M28" s="289">
        <v>0.20899999999999999</v>
      </c>
      <c r="N28" s="289">
        <v>0.17399999999999999</v>
      </c>
      <c r="O28" s="289">
        <v>0.161</v>
      </c>
      <c r="P28" s="289">
        <v>0.16699999999999998</v>
      </c>
      <c r="Q28" s="289">
        <v>0.17499999999999999</v>
      </c>
    </row>
    <row r="29" spans="1:19">
      <c r="A29" s="1" t="s">
        <v>219</v>
      </c>
      <c r="F29" s="287">
        <f>AVERAGE(F27:L27)</f>
        <v>0.10970100290037781</v>
      </c>
      <c r="G29" s="287">
        <f>F29</f>
        <v>0.10970100290037781</v>
      </c>
      <c r="H29" s="287">
        <f t="shared" ref="H29:L30" si="8">G29</f>
        <v>0.10970100290037781</v>
      </c>
      <c r="I29" s="287">
        <f t="shared" si="8"/>
        <v>0.10970100290037781</v>
      </c>
      <c r="J29" s="287">
        <f t="shared" si="8"/>
        <v>0.10970100290037781</v>
      </c>
      <c r="K29" s="287">
        <f t="shared" si="8"/>
        <v>0.10970100290037781</v>
      </c>
      <c r="L29" s="287">
        <f t="shared" si="8"/>
        <v>0.10970100290037781</v>
      </c>
      <c r="M29" s="289">
        <f>L29</f>
        <v>0.10970100290037781</v>
      </c>
      <c r="N29" s="289">
        <f t="shared" ref="N29:Q30" si="9">M29</f>
        <v>0.10970100290037781</v>
      </c>
      <c r="O29" s="289">
        <f t="shared" si="9"/>
        <v>0.10970100290037781</v>
      </c>
      <c r="P29" s="289">
        <f t="shared" si="9"/>
        <v>0.10970100290037781</v>
      </c>
      <c r="Q29" s="289">
        <f t="shared" si="9"/>
        <v>0.10970100290037781</v>
      </c>
    </row>
    <row r="30" spans="1:19">
      <c r="A30" s="1" t="s">
        <v>220</v>
      </c>
      <c r="F30" s="287">
        <f>AVERAGE(F28:L28)</f>
        <v>0.23509255848204905</v>
      </c>
      <c r="G30" s="287">
        <f>F30</f>
        <v>0.23509255848204905</v>
      </c>
      <c r="H30" s="287">
        <f t="shared" si="8"/>
        <v>0.23509255848204905</v>
      </c>
      <c r="I30" s="287">
        <f t="shared" si="8"/>
        <v>0.23509255848204905</v>
      </c>
      <c r="J30" s="287">
        <f t="shared" si="8"/>
        <v>0.23509255848204905</v>
      </c>
      <c r="K30" s="287">
        <f t="shared" si="8"/>
        <v>0.23509255848204905</v>
      </c>
      <c r="L30" s="287">
        <f t="shared" si="8"/>
        <v>0.23509255848204905</v>
      </c>
      <c r="M30" s="289">
        <f>L30</f>
        <v>0.23509255848204905</v>
      </c>
      <c r="N30" s="289">
        <f t="shared" si="9"/>
        <v>0.23509255848204905</v>
      </c>
      <c r="O30" s="289">
        <f t="shared" si="9"/>
        <v>0.23509255848204905</v>
      </c>
      <c r="P30" s="289">
        <f t="shared" si="9"/>
        <v>0.23509255848204905</v>
      </c>
      <c r="Q30" s="289">
        <f t="shared" si="9"/>
        <v>0.23509255848204905</v>
      </c>
    </row>
    <row r="31" spans="1:19">
      <c r="F31" s="287"/>
      <c r="G31" s="287"/>
      <c r="H31" s="287"/>
      <c r="I31" s="287"/>
      <c r="J31" s="287"/>
      <c r="K31" s="287"/>
      <c r="L31" s="287"/>
      <c r="M31" s="289"/>
      <c r="N31" s="289"/>
      <c r="O31" s="289"/>
      <c r="P31" s="289"/>
      <c r="Q31" s="289"/>
    </row>
    <row r="32" spans="1:19">
      <c r="A32" s="288" t="s">
        <v>223</v>
      </c>
    </row>
    <row r="33" spans="1:17">
      <c r="A33" s="1" t="s">
        <v>6</v>
      </c>
      <c r="F33" s="287">
        <v>5.2298267843466265E-2</v>
      </c>
      <c r="G33" s="287">
        <v>7.8628127004881476E-2</v>
      </c>
      <c r="H33" s="287">
        <v>0.13976674516052515</v>
      </c>
      <c r="I33" s="287">
        <v>0.10015695513379781</v>
      </c>
      <c r="J33" s="287">
        <v>9.84882130088819E-2</v>
      </c>
      <c r="K33" s="287">
        <v>0.1089576913695411</v>
      </c>
      <c r="L33" s="287">
        <v>0.13188935620532929</v>
      </c>
      <c r="M33" s="289">
        <v>8.199999999999999E-2</v>
      </c>
      <c r="N33" s="289">
        <v>7.5999999999999998E-2</v>
      </c>
      <c r="O33" s="289">
        <v>7.2999999999999995E-2</v>
      </c>
      <c r="P33" s="289">
        <v>7.5999999999999998E-2</v>
      </c>
      <c r="Q33" s="289">
        <v>0.08</v>
      </c>
    </row>
    <row r="34" spans="1:17">
      <c r="A34" s="1" t="s">
        <v>67</v>
      </c>
      <c r="F34" s="287">
        <v>0.16451126699293947</v>
      </c>
      <c r="G34" s="287">
        <v>0.18414594176585183</v>
      </c>
      <c r="H34" s="287">
        <v>0.26194898717141346</v>
      </c>
      <c r="I34" s="287">
        <v>0.20441207614480864</v>
      </c>
      <c r="J34" s="287">
        <v>0.14603991217953058</v>
      </c>
      <c r="K34" s="287">
        <v>0.25148590915458258</v>
      </c>
      <c r="L34" s="287">
        <v>0.28489426280151564</v>
      </c>
      <c r="M34" s="289">
        <v>0.122</v>
      </c>
      <c r="N34" s="289">
        <v>0.107</v>
      </c>
      <c r="O34" s="289">
        <v>0.10199999999999999</v>
      </c>
      <c r="P34" s="289">
        <v>0.10800000000000001</v>
      </c>
      <c r="Q34" s="289">
        <v>0.114</v>
      </c>
    </row>
    <row r="35" spans="1:17">
      <c r="A35" s="1" t="s">
        <v>219</v>
      </c>
      <c r="F35" s="287">
        <f>AVERAGE(F33:L33)</f>
        <v>0.10145505081806042</v>
      </c>
      <c r="G35" s="287">
        <f>F35</f>
        <v>0.10145505081806042</v>
      </c>
      <c r="H35" s="287">
        <f t="shared" ref="H35:L36" si="10">G35</f>
        <v>0.10145505081806042</v>
      </c>
      <c r="I35" s="287">
        <f t="shared" si="10"/>
        <v>0.10145505081806042</v>
      </c>
      <c r="J35" s="287">
        <f t="shared" si="10"/>
        <v>0.10145505081806042</v>
      </c>
      <c r="K35" s="287">
        <f t="shared" si="10"/>
        <v>0.10145505081806042</v>
      </c>
      <c r="L35" s="287">
        <f t="shared" si="10"/>
        <v>0.10145505081806042</v>
      </c>
      <c r="M35" s="289">
        <f>L35</f>
        <v>0.10145505081806042</v>
      </c>
      <c r="N35" s="289">
        <f t="shared" ref="N35:Q36" si="11">M35</f>
        <v>0.10145505081806042</v>
      </c>
      <c r="O35" s="289">
        <f t="shared" si="11"/>
        <v>0.10145505081806042</v>
      </c>
      <c r="P35" s="289">
        <f t="shared" si="11"/>
        <v>0.10145505081806042</v>
      </c>
      <c r="Q35" s="289">
        <f t="shared" si="11"/>
        <v>0.10145505081806042</v>
      </c>
    </row>
    <row r="36" spans="1:17">
      <c r="A36" s="1" t="s">
        <v>220</v>
      </c>
      <c r="F36" s="287">
        <f>AVERAGE(F34:L34)</f>
        <v>0.21391976517294889</v>
      </c>
      <c r="G36" s="287">
        <f>F36</f>
        <v>0.21391976517294889</v>
      </c>
      <c r="H36" s="287">
        <f t="shared" si="10"/>
        <v>0.21391976517294889</v>
      </c>
      <c r="I36" s="287">
        <f t="shared" si="10"/>
        <v>0.21391976517294889</v>
      </c>
      <c r="J36" s="287">
        <f t="shared" si="10"/>
        <v>0.21391976517294889</v>
      </c>
      <c r="K36" s="287">
        <f t="shared" si="10"/>
        <v>0.21391976517294889</v>
      </c>
      <c r="L36" s="287">
        <f t="shared" si="10"/>
        <v>0.21391976517294889</v>
      </c>
      <c r="M36" s="289">
        <f>L36</f>
        <v>0.21391976517294889</v>
      </c>
      <c r="N36" s="289">
        <f t="shared" si="11"/>
        <v>0.21391976517294889</v>
      </c>
      <c r="O36" s="289">
        <f t="shared" si="11"/>
        <v>0.21391976517294889</v>
      </c>
      <c r="P36" s="289">
        <f t="shared" si="11"/>
        <v>0.21391976517294889</v>
      </c>
      <c r="Q36" s="289">
        <f t="shared" si="11"/>
        <v>0.21391976517294889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74</vt:i4>
      </vt:variant>
    </vt:vector>
  </HeadingPairs>
  <TitlesOfParts>
    <vt:vector size="79" baseType="lpstr">
      <vt:lpstr>cover</vt:lpstr>
      <vt:lpstr>model</vt:lpstr>
      <vt:lpstr>model (2)</vt:lpstr>
      <vt:lpstr>QoQ</vt:lpstr>
      <vt:lpstr>Лист1</vt:lpstr>
      <vt:lpstr>AP</vt:lpstr>
      <vt:lpstr>AR</vt:lpstr>
      <vt:lpstr>BVPS</vt:lpstr>
      <vt:lpstr>CAPEX</vt:lpstr>
      <vt:lpstr>Cash</vt:lpstr>
      <vt:lpstr>Cno</vt:lpstr>
      <vt:lpstr>CNoAve</vt:lpstr>
      <vt:lpstr>Comment</vt:lpstr>
      <vt:lpstr>CP</vt:lpstr>
      <vt:lpstr>CPAve</vt:lpstr>
      <vt:lpstr>CurAssets</vt:lpstr>
      <vt:lpstr>CurrLiab</vt:lpstr>
      <vt:lpstr>DCFc</vt:lpstr>
      <vt:lpstr>DCFp</vt:lpstr>
      <vt:lpstr>DDMc</vt:lpstr>
      <vt:lpstr>DDMp</vt:lpstr>
      <vt:lpstr>DebtRepayment</vt:lpstr>
      <vt:lpstr>Depr</vt:lpstr>
      <vt:lpstr>Depreciation</vt:lpstr>
      <vt:lpstr>DividendsPaid</vt:lpstr>
      <vt:lpstr>DPS</vt:lpstr>
      <vt:lpstr>DPSc</vt:lpstr>
      <vt:lpstr>DPSp</vt:lpstr>
      <vt:lpstr>EBIT</vt:lpstr>
      <vt:lpstr>EBITDA</vt:lpstr>
      <vt:lpstr>EPS</vt:lpstr>
      <vt:lpstr>EVave</vt:lpstr>
      <vt:lpstr>FA</vt:lpstr>
      <vt:lpstr>FFc</vt:lpstr>
      <vt:lpstr>FFp</vt:lpstr>
      <vt:lpstr>FiCF</vt:lpstr>
      <vt:lpstr>FixedAssets</vt:lpstr>
      <vt:lpstr>FX</vt:lpstr>
      <vt:lpstr>GrossDebt</vt:lpstr>
      <vt:lpstr>GrossProfit</vt:lpstr>
      <vt:lpstr>Headcount</vt:lpstr>
      <vt:lpstr>InCF</vt:lpstr>
      <vt:lpstr>IncomeTax</vt:lpstr>
      <vt:lpstr>Interestexpense</vt:lpstr>
      <vt:lpstr>Interestincome</vt:lpstr>
      <vt:lpstr>Inventories</vt:lpstr>
      <vt:lpstr>Investments</vt:lpstr>
      <vt:lpstr>LTDebt</vt:lpstr>
      <vt:lpstr>LTLiab</vt:lpstr>
      <vt:lpstr>MCAPhist</vt:lpstr>
      <vt:lpstr>MinorInterestEq</vt:lpstr>
      <vt:lpstr>MinorInterestIncome</vt:lpstr>
      <vt:lpstr>MinorityEquity</vt:lpstr>
      <vt:lpstr>NetDebt</vt:lpstr>
      <vt:lpstr>NetIncome</vt:lpstr>
      <vt:lpstr>NetInterest</vt:lpstr>
      <vt:lpstr>OpCF</vt:lpstr>
      <vt:lpstr>Payables</vt:lpstr>
      <vt:lpstr>PBT</vt:lpstr>
      <vt:lpstr>Pno</vt:lpstr>
      <vt:lpstr>PNoAve</vt:lpstr>
      <vt:lpstr>PP</vt:lpstr>
      <vt:lpstr>PPAve</vt:lpstr>
      <vt:lpstr>PPE</vt:lpstr>
      <vt:lpstr>Receivables</vt:lpstr>
      <vt:lpstr>Revenue</vt:lpstr>
      <vt:lpstr>SGA</vt:lpstr>
      <vt:lpstr>SHEQ</vt:lpstr>
      <vt:lpstr>StayInBsnCapex</vt:lpstr>
      <vt:lpstr>STDebt</vt:lpstr>
      <vt:lpstr>TA</vt:lpstr>
      <vt:lpstr>TickerC</vt:lpstr>
      <vt:lpstr>TickerP</vt:lpstr>
      <vt:lpstr>TotalAssets</vt:lpstr>
      <vt:lpstr>Update</vt:lpstr>
      <vt:lpstr>USD</vt:lpstr>
      <vt:lpstr>WC</vt:lpstr>
      <vt:lpstr>WC_change</vt:lpstr>
      <vt:lpstr>YEAR</vt:lpstr>
    </vt:vector>
  </TitlesOfParts>
  <Company>KIT Fortis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r.muchipov</dc:creator>
  <cp:lastModifiedBy>Руслан Мучипов</cp:lastModifiedBy>
  <dcterms:created xsi:type="dcterms:W3CDTF">2011-02-25T17:03:08Z</dcterms:created>
  <dcterms:modified xsi:type="dcterms:W3CDTF">2018-03-28T15:46:04Z</dcterms:modified>
</cp:coreProperties>
</file>