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2\"/>
    </mc:Choice>
  </mc:AlternateContent>
  <xr:revisionPtr revIDLastSave="0" documentId="13_ncr:1_{DDC8CC46-C5BB-414B-BCB7-60019BB63436}" xr6:coauthVersionLast="46" xr6:coauthVersionMax="46" xr10:uidLastSave="{00000000-0000-0000-0000-000000000000}"/>
  <bookViews>
    <workbookView xWindow="-108" yWindow="-108" windowWidth="23256" windowHeight="12576" firstSheet="1" activeTab="3" xr2:uid="{760BF4A0-4F21-48FC-9449-0A68ABD67C67}"/>
  </bookViews>
  <sheets>
    <sheet name="Insercción" sheetId="5" r:id="rId1"/>
    <sheet name="Selección" sheetId="4" r:id="rId2"/>
    <sheet name="Burbuja" sheetId="1" r:id="rId3"/>
    <sheet name="Quicks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E21" i="3"/>
  <c r="E20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C21" i="3"/>
  <c r="C20" i="3"/>
  <c r="C19" i="3"/>
  <c r="C18" i="3"/>
  <c r="C17" i="3"/>
  <c r="C16" i="3"/>
  <c r="C15" i="3"/>
  <c r="C14" i="3"/>
  <c r="C13" i="3"/>
  <c r="C12" i="3"/>
  <c r="C11" i="3"/>
  <c r="C10" i="3"/>
  <c r="C8" i="3"/>
  <c r="C9" i="3"/>
  <c r="C7" i="3"/>
  <c r="C6" i="3"/>
  <c r="C5" i="3"/>
  <c r="C4" i="3"/>
  <c r="E10" i="1"/>
  <c r="E9" i="1"/>
  <c r="E8" i="1"/>
  <c r="E7" i="1"/>
  <c r="E6" i="1"/>
  <c r="E5" i="1"/>
  <c r="E4" i="1"/>
  <c r="E3" i="1"/>
  <c r="D3" i="1"/>
  <c r="D11" i="1"/>
  <c r="D10" i="1"/>
  <c r="D9" i="1"/>
  <c r="D8" i="1"/>
  <c r="D7" i="1"/>
  <c r="D6" i="1"/>
  <c r="D5" i="1"/>
  <c r="D4" i="1"/>
  <c r="C3" i="1"/>
  <c r="C12" i="1"/>
  <c r="C11" i="1"/>
  <c r="C10" i="1"/>
  <c r="C9" i="1"/>
  <c r="C8" i="1"/>
  <c r="C7" i="1"/>
  <c r="C6" i="1"/>
  <c r="C5" i="1"/>
  <c r="C4" i="1"/>
  <c r="C3" i="5"/>
  <c r="E12" i="4"/>
  <c r="E11" i="4"/>
  <c r="E10" i="4"/>
  <c r="D11" i="4"/>
  <c r="D10" i="4"/>
  <c r="D9" i="4"/>
  <c r="E9" i="4"/>
  <c r="E8" i="4"/>
  <c r="E7" i="4"/>
  <c r="E6" i="4"/>
  <c r="E5" i="4"/>
  <c r="E4" i="4"/>
  <c r="E3" i="4"/>
  <c r="D3" i="4"/>
  <c r="D8" i="4"/>
  <c r="D7" i="4"/>
  <c r="D6" i="4"/>
  <c r="D5" i="4"/>
  <c r="D4" i="4"/>
  <c r="C3" i="4"/>
  <c r="C13" i="4"/>
  <c r="C12" i="4"/>
  <c r="C11" i="4"/>
  <c r="C10" i="4"/>
  <c r="C9" i="4"/>
  <c r="C8" i="4"/>
  <c r="C7" i="4"/>
  <c r="C6" i="4"/>
  <c r="C4" i="4"/>
  <c r="C5" i="4"/>
  <c r="E13" i="5"/>
  <c r="E12" i="5"/>
  <c r="E11" i="5"/>
  <c r="E10" i="5"/>
  <c r="E9" i="5"/>
  <c r="E8" i="5"/>
  <c r="E7" i="5"/>
  <c r="E6" i="5"/>
  <c r="E5" i="5"/>
  <c r="E4" i="5"/>
  <c r="E3" i="5"/>
  <c r="D14" i="5"/>
  <c r="D13" i="5"/>
  <c r="D12" i="5"/>
  <c r="D11" i="5"/>
  <c r="D10" i="5"/>
  <c r="D9" i="5"/>
  <c r="D8" i="5"/>
  <c r="D7" i="5"/>
  <c r="D6" i="5"/>
  <c r="D5" i="5"/>
  <c r="D4" i="5"/>
  <c r="D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<sst xmlns="http://schemas.openxmlformats.org/spreadsheetml/2006/main" count="90" uniqueCount="22">
  <si>
    <t>nVeces</t>
  </si>
  <si>
    <t>Mediciones realizadas en:</t>
  </si>
  <si>
    <t>Intel(R) Core(TM) i7-8550U</t>
  </si>
  <si>
    <t>RAM 16,0 GB</t>
  </si>
  <si>
    <t>n</t>
  </si>
  <si>
    <t>t(ordenado)</t>
  </si>
  <si>
    <t>t(inverso)</t>
  </si>
  <si>
    <t>t(aleatorio)</t>
  </si>
  <si>
    <t>nVeces (ordenado)</t>
  </si>
  <si>
    <t>nVeces (inverso)</t>
  </si>
  <si>
    <t>nVeces (aleatorio)</t>
  </si>
  <si>
    <t>nVeces = 100000</t>
  </si>
  <si>
    <t>nVeces = 10000</t>
  </si>
  <si>
    <t>nVeces = 1000</t>
  </si>
  <si>
    <t>nVeces = 100</t>
  </si>
  <si>
    <t>nVeces = 1000000</t>
  </si>
  <si>
    <t>nVeces =  100000</t>
  </si>
  <si>
    <t>nVeces = 10</t>
  </si>
  <si>
    <t>nVeces = 1</t>
  </si>
  <si>
    <t xml:space="preserve">nVeces = 100 </t>
  </si>
  <si>
    <t xml:space="preserve">nVeces = 10 </t>
  </si>
  <si>
    <t xml:space="preserve">nVeces = 1000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</si>
</sst>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1" fillId="2" borderId="11" xfId="0" applyFont="1" applyFill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/>
    <xf numFmtId="0" fontId="0" fillId="0" borderId="12" xfId="0" applyBorder="1"/>
    <xf numFmtId="0" fontId="0" fillId="0" borderId="1" xfId="0" applyFill="1" applyBorder="1"/>
    <xf numFmtId="0" fontId="1" fillId="2" borderId="9" xfId="0" applyFont="1" applyFill="1" applyBorder="1"/>
    <xf numFmtId="0" fontId="1" fillId="3" borderId="9" xfId="0" applyFont="1" applyFill="1" applyBorder="1"/>
    <xf numFmtId="0" fontId="1" fillId="4" borderId="9" xfId="0" applyFont="1" applyFill="1" applyBorder="1"/>
    <xf numFmtId="0" fontId="2" fillId="5" borderId="9" xfId="0" applyFont="1" applyFill="1" applyBorder="1"/>
    <xf numFmtId="0" fontId="1" fillId="2" borderId="4" xfId="0" applyFont="1" applyFill="1" applyBorder="1"/>
    <xf numFmtId="0" fontId="1" fillId="0" borderId="8" xfId="0" applyFont="1" applyBorder="1"/>
    <xf numFmtId="0" fontId="1" fillId="2" borderId="11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Insercción!$C$2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Insercción!$B$3:$B$21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Insercción!$C$3:$C$21</c:f>
              <c:numCache>
                <c:formatCode>General</c:formatCode>
                <c:ptCount val="19"/>
                <c:pt idx="0">
                  <c:v>5.31E-4</c:v>
                </c:pt>
                <c:pt idx="1">
                  <c:v>6.0899999999999995E-4</c:v>
                </c:pt>
                <c:pt idx="2">
                  <c:v>1.065E-3</c:v>
                </c:pt>
                <c:pt idx="3">
                  <c:v>2.1749999999999999E-3</c:v>
                </c:pt>
                <c:pt idx="4">
                  <c:v>4.4010000000000004E-3</c:v>
                </c:pt>
                <c:pt idx="5">
                  <c:v>1.1035E-2</c:v>
                </c:pt>
                <c:pt idx="6">
                  <c:v>2.2688E-2</c:v>
                </c:pt>
                <c:pt idx="7">
                  <c:v>4.5662000000000001E-2</c:v>
                </c:pt>
                <c:pt idx="8">
                  <c:v>9.2854999999999993E-2</c:v>
                </c:pt>
                <c:pt idx="9">
                  <c:v>0.18317700000000001</c:v>
                </c:pt>
                <c:pt idx="10">
                  <c:v>0.33445000000000003</c:v>
                </c:pt>
                <c:pt idx="11">
                  <c:v>0.89180000000000004</c:v>
                </c:pt>
                <c:pt idx="12">
                  <c:v>2.08982</c:v>
                </c:pt>
                <c:pt idx="13">
                  <c:v>3.8115999999999999</c:v>
                </c:pt>
                <c:pt idx="14">
                  <c:v>7.6717000000000004</c:v>
                </c:pt>
                <c:pt idx="15">
                  <c:v>15.2463</c:v>
                </c:pt>
                <c:pt idx="16">
                  <c:v>39.209000000000003</c:v>
                </c:pt>
                <c:pt idx="17">
                  <c:v>78.840999999999994</c:v>
                </c:pt>
                <c:pt idx="18">
                  <c:v>155.02600000000001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Quicksort!$C$3:$C$21</c:f>
              <c:numCache>
                <c:formatCode>General</c:formatCode>
                <c:ptCount val="19"/>
                <c:pt idx="0">
                  <c:v>2.8799999999999999E-2</c:v>
                </c:pt>
                <c:pt idx="1">
                  <c:v>3.9199999999999999E-2</c:v>
                </c:pt>
                <c:pt idx="2">
                  <c:v>5.6000000000000001E-2</c:v>
                </c:pt>
                <c:pt idx="3">
                  <c:v>0.1104</c:v>
                </c:pt>
                <c:pt idx="4">
                  <c:v>0.37880000000000003</c:v>
                </c:pt>
                <c:pt idx="5">
                  <c:v>1.0757000000000001</c:v>
                </c:pt>
                <c:pt idx="6">
                  <c:v>2.2686000000000002</c:v>
                </c:pt>
                <c:pt idx="7">
                  <c:v>5.0964</c:v>
                </c:pt>
                <c:pt idx="8">
                  <c:v>10.363</c:v>
                </c:pt>
                <c:pt idx="9">
                  <c:v>26.72</c:v>
                </c:pt>
                <c:pt idx="10">
                  <c:v>60.363</c:v>
                </c:pt>
                <c:pt idx="11">
                  <c:v>116.51</c:v>
                </c:pt>
                <c:pt idx="12">
                  <c:v>275.81</c:v>
                </c:pt>
                <c:pt idx="13">
                  <c:v>564.30999999999995</c:v>
                </c:pt>
                <c:pt idx="14">
                  <c:v>1144.1600000000001</c:v>
                </c:pt>
                <c:pt idx="15">
                  <c:v>2422.1999999999998</c:v>
                </c:pt>
                <c:pt idx="16">
                  <c:v>4875.2</c:v>
                </c:pt>
                <c:pt idx="17">
                  <c:v>9949.1</c:v>
                </c:pt>
                <c:pt idx="18">
                  <c:v>20405.2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8-4AA2-AA5A-62462AB7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t(inverso)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Quicksort!$D$3:$D$21</c:f>
              <c:numCache>
                <c:formatCode>General</c:formatCode>
                <c:ptCount val="19"/>
                <c:pt idx="0">
                  <c:v>2.92E-2</c:v>
                </c:pt>
                <c:pt idx="1">
                  <c:v>4.8000000000000001E-2</c:v>
                </c:pt>
                <c:pt idx="2">
                  <c:v>9.8699999999999996E-2</c:v>
                </c:pt>
                <c:pt idx="3">
                  <c:v>0.26100000000000001</c:v>
                </c:pt>
                <c:pt idx="4">
                  <c:v>0.72089999999999999</c:v>
                </c:pt>
                <c:pt idx="5">
                  <c:v>1.5982000000000001</c:v>
                </c:pt>
                <c:pt idx="6">
                  <c:v>3.2774000000000001</c:v>
                </c:pt>
                <c:pt idx="7">
                  <c:v>6.8852000000000002</c:v>
                </c:pt>
                <c:pt idx="8">
                  <c:v>14.056800000000001</c:v>
                </c:pt>
                <c:pt idx="9">
                  <c:v>29.707000000000001</c:v>
                </c:pt>
                <c:pt idx="10">
                  <c:v>62.27</c:v>
                </c:pt>
                <c:pt idx="11">
                  <c:v>129.56800000000001</c:v>
                </c:pt>
                <c:pt idx="12">
                  <c:v>290.93</c:v>
                </c:pt>
                <c:pt idx="13">
                  <c:v>631.33000000000004</c:v>
                </c:pt>
                <c:pt idx="14">
                  <c:v>1245.82</c:v>
                </c:pt>
                <c:pt idx="15">
                  <c:v>3140.2</c:v>
                </c:pt>
                <c:pt idx="16">
                  <c:v>6335</c:v>
                </c:pt>
                <c:pt idx="17">
                  <c:v>13311</c:v>
                </c:pt>
                <c:pt idx="18">
                  <c:v>56223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16B-AB51-07A67A85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t(aleatorio)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Quicksort!$E$3:$E$21</c:f>
              <c:numCache>
                <c:formatCode>General</c:formatCode>
                <c:ptCount val="19"/>
                <c:pt idx="0">
                  <c:v>1.8800000000000001E-2</c:v>
                </c:pt>
                <c:pt idx="1">
                  <c:v>3.2800000000000003E-2</c:v>
                </c:pt>
                <c:pt idx="2">
                  <c:v>5.3100000000000001E-2</c:v>
                </c:pt>
                <c:pt idx="3">
                  <c:v>0.1016</c:v>
                </c:pt>
                <c:pt idx="4">
                  <c:v>0.2172</c:v>
                </c:pt>
                <c:pt idx="5">
                  <c:v>0.4708</c:v>
                </c:pt>
                <c:pt idx="6">
                  <c:v>1.0104</c:v>
                </c:pt>
                <c:pt idx="7">
                  <c:v>2.1743999999999999</c:v>
                </c:pt>
                <c:pt idx="8">
                  <c:v>4.6412000000000004</c:v>
                </c:pt>
                <c:pt idx="9">
                  <c:v>10.885300000000001</c:v>
                </c:pt>
                <c:pt idx="10">
                  <c:v>31.89</c:v>
                </c:pt>
                <c:pt idx="11">
                  <c:v>80.915999999999997</c:v>
                </c:pt>
                <c:pt idx="12">
                  <c:v>218.803</c:v>
                </c:pt>
                <c:pt idx="13">
                  <c:v>755.31</c:v>
                </c:pt>
                <c:pt idx="14">
                  <c:v>2525.86</c:v>
                </c:pt>
                <c:pt idx="15">
                  <c:v>5722.1</c:v>
                </c:pt>
                <c:pt idx="16">
                  <c:v>9638</c:v>
                </c:pt>
                <c:pt idx="17">
                  <c:v>24260</c:v>
                </c:pt>
                <c:pt idx="18">
                  <c:v>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5-4C0B-9917-CBE53365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Insercción!$D$2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Insercción!$B$3:$B$14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Insercción!$D$3:$D$14</c:f>
              <c:numCache>
                <c:formatCode>General</c:formatCode>
                <c:ptCount val="12"/>
                <c:pt idx="0">
                  <c:v>3.46E-3</c:v>
                </c:pt>
                <c:pt idx="1">
                  <c:v>4.8700000000000002E-3</c:v>
                </c:pt>
                <c:pt idx="2">
                  <c:v>9.0600000000000003E-3</c:v>
                </c:pt>
                <c:pt idx="3">
                  <c:v>1.9769999999999999E-2</c:v>
                </c:pt>
                <c:pt idx="4">
                  <c:v>5.2659999999999998E-2</c:v>
                </c:pt>
                <c:pt idx="5">
                  <c:v>9.4670000000000004E-2</c:v>
                </c:pt>
                <c:pt idx="6">
                  <c:v>0.17150000000000001</c:v>
                </c:pt>
                <c:pt idx="7">
                  <c:v>0.41559000000000001</c:v>
                </c:pt>
                <c:pt idx="8">
                  <c:v>1.73891</c:v>
                </c:pt>
                <c:pt idx="9">
                  <c:v>44.322800000000001</c:v>
                </c:pt>
                <c:pt idx="10">
                  <c:v>798.38</c:v>
                </c:pt>
                <c:pt idx="11">
                  <c:v>2706.174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Insercción!$E$2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Insercción!$B$3:$B$13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Insercción!$E$3:$E$13</c:f>
              <c:numCache>
                <c:formatCode>General</c:formatCode>
                <c:ptCount val="11"/>
                <c:pt idx="0">
                  <c:v>1.1199999999999999E-3</c:v>
                </c:pt>
                <c:pt idx="1">
                  <c:v>2.15E-3</c:v>
                </c:pt>
                <c:pt idx="2">
                  <c:v>3.4499999999999999E-3</c:v>
                </c:pt>
                <c:pt idx="3">
                  <c:v>6.9499999999999996E-3</c:v>
                </c:pt>
                <c:pt idx="4">
                  <c:v>1.451E-2</c:v>
                </c:pt>
                <c:pt idx="5">
                  <c:v>2.9159999999999998E-2</c:v>
                </c:pt>
                <c:pt idx="6">
                  <c:v>6.1749999999999999E-2</c:v>
                </c:pt>
                <c:pt idx="7">
                  <c:v>0.14077999999999999</c:v>
                </c:pt>
                <c:pt idx="8">
                  <c:v>0.33335999999999999</c:v>
                </c:pt>
                <c:pt idx="9">
                  <c:v>0.84735000000000005</c:v>
                </c:pt>
                <c:pt idx="10">
                  <c:v>12.657500000000001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91216903979129"/>
          <c:y val="0.19486111111111112"/>
          <c:w val="0.8287044728621403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Selección!$C$2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Selección!$B$3:$B$13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Selección!$C$3:$C$13</c:f>
              <c:numCache>
                <c:formatCode>General</c:formatCode>
                <c:ptCount val="11"/>
                <c:pt idx="0">
                  <c:v>0.33900000000000002</c:v>
                </c:pt>
                <c:pt idx="1">
                  <c:v>0.83399999999999996</c:v>
                </c:pt>
                <c:pt idx="2">
                  <c:v>2.9169999999999998</c:v>
                </c:pt>
                <c:pt idx="3">
                  <c:v>10.92</c:v>
                </c:pt>
                <c:pt idx="4">
                  <c:v>44.49</c:v>
                </c:pt>
                <c:pt idx="5">
                  <c:v>170.25899999999999</c:v>
                </c:pt>
                <c:pt idx="6">
                  <c:v>684.06</c:v>
                </c:pt>
                <c:pt idx="7">
                  <c:v>2835.1</c:v>
                </c:pt>
                <c:pt idx="8">
                  <c:v>11206.2</c:v>
                </c:pt>
                <c:pt idx="9">
                  <c:v>54171</c:v>
                </c:pt>
                <c:pt idx="10">
                  <c:v>213088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E-4C0C-B7AA-C7C0CC0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Selección!$D$2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Selección!$B$3:$B$11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Selección!$D$3:$D$11</c:f>
              <c:numCache>
                <c:formatCode>General</c:formatCode>
                <c:ptCount val="9"/>
                <c:pt idx="0">
                  <c:v>1.39</c:v>
                </c:pt>
                <c:pt idx="1">
                  <c:v>5.0789999999999997</c:v>
                </c:pt>
                <c:pt idx="2">
                  <c:v>20.763000000000002</c:v>
                </c:pt>
                <c:pt idx="3">
                  <c:v>83.905000000000001</c:v>
                </c:pt>
                <c:pt idx="4">
                  <c:v>332.6</c:v>
                </c:pt>
                <c:pt idx="5">
                  <c:v>1334.69</c:v>
                </c:pt>
                <c:pt idx="6">
                  <c:v>5348.6</c:v>
                </c:pt>
                <c:pt idx="7">
                  <c:v>21216.9</c:v>
                </c:pt>
                <c:pt idx="8">
                  <c:v>87620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7-4ACD-8A1C-9D283E57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Selección!$E$2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Selección!$B$3:$B$12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Selección!$E$3:$E$12</c:f>
              <c:numCache>
                <c:formatCode>General</c:formatCode>
                <c:ptCount val="10"/>
                <c:pt idx="0">
                  <c:v>0.68700000000000006</c:v>
                </c:pt>
                <c:pt idx="1">
                  <c:v>2.0470000000000002</c:v>
                </c:pt>
                <c:pt idx="2">
                  <c:v>7.0309999999999997</c:v>
                </c:pt>
                <c:pt idx="3">
                  <c:v>28.635999999999999</c:v>
                </c:pt>
                <c:pt idx="4">
                  <c:v>110.318</c:v>
                </c:pt>
                <c:pt idx="5">
                  <c:v>499.48</c:v>
                </c:pt>
                <c:pt idx="6">
                  <c:v>2020.93</c:v>
                </c:pt>
                <c:pt idx="7">
                  <c:v>9307.5</c:v>
                </c:pt>
                <c:pt idx="8">
                  <c:v>37984</c:v>
                </c:pt>
                <c:pt idx="9">
                  <c:v>155384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F-49B6-9741-26BDB1C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Burbuja!$B$3:$B$12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Burbuja!$C$3:$C$12</c:f>
              <c:numCache>
                <c:formatCode>General</c:formatCode>
                <c:ptCount val="10"/>
                <c:pt idx="0">
                  <c:v>0.28599999999999998</c:v>
                </c:pt>
                <c:pt idx="1">
                  <c:v>0.66600000000000004</c:v>
                </c:pt>
                <c:pt idx="2">
                  <c:v>2.786</c:v>
                </c:pt>
                <c:pt idx="3">
                  <c:v>17.826000000000001</c:v>
                </c:pt>
                <c:pt idx="4">
                  <c:v>74.792000000000002</c:v>
                </c:pt>
                <c:pt idx="5">
                  <c:v>292.25700000000001</c:v>
                </c:pt>
                <c:pt idx="6">
                  <c:v>1156.3499999999999</c:v>
                </c:pt>
                <c:pt idx="7">
                  <c:v>5269.6</c:v>
                </c:pt>
                <c:pt idx="8">
                  <c:v>21098.7</c:v>
                </c:pt>
                <c:pt idx="9">
                  <c:v>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135-A9F6-764C540F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Burbuja!$B$3:$B$11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Burbuja!$D$3:$D$11</c:f>
              <c:numCache>
                <c:formatCode>General</c:formatCode>
                <c:ptCount val="9"/>
                <c:pt idx="0">
                  <c:v>0.46600000000000003</c:v>
                </c:pt>
                <c:pt idx="1">
                  <c:v>1.0669999999999999</c:v>
                </c:pt>
                <c:pt idx="2">
                  <c:v>7.1529999999999996</c:v>
                </c:pt>
                <c:pt idx="3">
                  <c:v>34.488999999999997</c:v>
                </c:pt>
                <c:pt idx="4">
                  <c:v>130.11600000000001</c:v>
                </c:pt>
                <c:pt idx="5">
                  <c:v>958.53</c:v>
                </c:pt>
                <c:pt idx="6">
                  <c:v>4327.8999999999996</c:v>
                </c:pt>
                <c:pt idx="7">
                  <c:v>17042.7</c:v>
                </c:pt>
                <c:pt idx="8">
                  <c:v>112352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9-4C21-B5C5-21055D31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Burbuja!$B$3:$B$10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Burbuja!$E$3:$E$10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2.5409999999999999</c:v>
                </c:pt>
                <c:pt idx="2">
                  <c:v>15.379</c:v>
                </c:pt>
                <c:pt idx="3">
                  <c:v>61.243000000000002</c:v>
                </c:pt>
                <c:pt idx="4">
                  <c:v>238.48099999999999</c:v>
                </c:pt>
                <c:pt idx="5">
                  <c:v>986.07</c:v>
                </c:pt>
                <c:pt idx="6">
                  <c:v>5324.5</c:v>
                </c:pt>
                <c:pt idx="7">
                  <c:v>21285.9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B-4DB5-AB73-8AB323E1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23</xdr:row>
      <xdr:rowOff>110490</xdr:rowOff>
    </xdr:from>
    <xdr:to>
      <xdr:col>6</xdr:col>
      <xdr:colOff>121920</xdr:colOff>
      <xdr:row>38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23</xdr:row>
      <xdr:rowOff>114300</xdr:rowOff>
    </xdr:from>
    <xdr:to>
      <xdr:col>12</xdr:col>
      <xdr:colOff>68580</xdr:colOff>
      <xdr:row>38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23</xdr:row>
      <xdr:rowOff>106680</xdr:rowOff>
    </xdr:from>
    <xdr:to>
      <xdr:col>18</xdr:col>
      <xdr:colOff>30480</xdr:colOff>
      <xdr:row>38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34290</xdr:rowOff>
    </xdr:from>
    <xdr:to>
      <xdr:col>5</xdr:col>
      <xdr:colOff>800100</xdr:colOff>
      <xdr:row>30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D7CB8-AC21-4E29-B7C6-FA5417387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7620</xdr:rowOff>
    </xdr:from>
    <xdr:to>
      <xdr:col>11</xdr:col>
      <xdr:colOff>609600</xdr:colOff>
      <xdr:row>30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ED663-C724-4F21-B25C-B2D03FCD3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15</xdr:row>
      <xdr:rowOff>15240</xdr:rowOff>
    </xdr:from>
    <xdr:to>
      <xdr:col>17</xdr:col>
      <xdr:colOff>662940</xdr:colOff>
      <xdr:row>30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BB460-7556-418D-BA48-10D7DF0E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12</xdr:row>
      <xdr:rowOff>179070</xdr:rowOff>
    </xdr:from>
    <xdr:to>
      <xdr:col>6</xdr:col>
      <xdr:colOff>38100</xdr:colOff>
      <xdr:row>27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A3A2D-284D-451C-9995-5CD580AB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13</xdr:row>
      <xdr:rowOff>0</xdr:rowOff>
    </xdr:from>
    <xdr:to>
      <xdr:col>12</xdr:col>
      <xdr:colOff>15240</xdr:colOff>
      <xdr:row>28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ECA1DB-1A09-4DA9-8F7C-A753DBD0D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13</xdr:row>
      <xdr:rowOff>38100</xdr:rowOff>
    </xdr:from>
    <xdr:to>
      <xdr:col>18</xdr:col>
      <xdr:colOff>22860</xdr:colOff>
      <xdr:row>28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F067F0-49D6-4C1E-80F1-0224E2805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22</xdr:row>
      <xdr:rowOff>41910</xdr:rowOff>
    </xdr:from>
    <xdr:to>
      <xdr:col>6</xdr:col>
      <xdr:colOff>228600</xdr:colOff>
      <xdr:row>37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B96EF3-C635-475D-85C9-9620E6105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21</xdr:row>
      <xdr:rowOff>106680</xdr:rowOff>
    </xdr:from>
    <xdr:to>
      <xdr:col>12</xdr:col>
      <xdr:colOff>243840</xdr:colOff>
      <xdr:row>36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C44DF-77D4-40B7-B3C5-480A9F62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22</xdr:row>
      <xdr:rowOff>15240</xdr:rowOff>
    </xdr:from>
    <xdr:to>
      <xdr:col>18</xdr:col>
      <xdr:colOff>381000</xdr:colOff>
      <xdr:row>37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15B7B4-FF59-4D4F-AE2F-CDEBE311D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1"/>
  <sheetViews>
    <sheetView topLeftCell="B5" workbookViewId="0">
      <selection activeCell="B3" sqref="B3:B21"/>
    </sheetView>
  </sheetViews>
  <sheetFormatPr baseColWidth="10" defaultRowHeight="14.4" x14ac:dyDescent="0.3"/>
  <cols>
    <col min="1" max="1" width="17" customWidth="1"/>
    <col min="6" max="6" width="16.33203125" customWidth="1"/>
    <col min="7" max="7" width="15.6640625" customWidth="1"/>
  </cols>
  <sheetData>
    <row r="2" spans="1:14" x14ac:dyDescent="0.3">
      <c r="A2" s="17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17" t="s">
        <v>9</v>
      </c>
      <c r="G2" s="15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15</v>
      </c>
      <c r="B3" s="29">
        <v>1000</v>
      </c>
      <c r="C3" s="29">
        <f>531/N4</f>
        <v>5.31E-4</v>
      </c>
      <c r="D3" s="29">
        <f>346/N5</f>
        <v>3.46E-3</v>
      </c>
      <c r="E3" s="29">
        <f>112/N5</f>
        <v>1.1199999999999999E-3</v>
      </c>
      <c r="F3" s="18" t="s">
        <v>16</v>
      </c>
      <c r="G3" s="16" t="s">
        <v>11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609/N4</f>
        <v>6.0899999999999995E-4</v>
      </c>
      <c r="D4" s="29">
        <f>487/N5</f>
        <v>4.8700000000000002E-3</v>
      </c>
      <c r="E4" s="29">
        <f>215/N5</f>
        <v>2.15E-3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1065/N4</f>
        <v>1.065E-3</v>
      </c>
      <c r="D5" s="29">
        <f>906/N5</f>
        <v>9.0600000000000003E-3</v>
      </c>
      <c r="E5" s="29">
        <f>345/N5</f>
        <v>3.4499999999999999E-3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2175/N4</f>
        <v>2.1749999999999999E-3</v>
      </c>
      <c r="D6" s="29">
        <f>1977/N5</f>
        <v>1.9769999999999999E-2</v>
      </c>
      <c r="E6" s="29">
        <f>695/N5</f>
        <v>6.9499999999999996E-3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4401/N4</f>
        <v>4.4010000000000004E-3</v>
      </c>
      <c r="D7" s="29">
        <f>5266/N5</f>
        <v>5.2659999999999998E-2</v>
      </c>
      <c r="E7" s="29">
        <f>1451/N5</f>
        <v>1.451E-2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11035/N4</f>
        <v>1.1035E-2</v>
      </c>
      <c r="D8" s="29">
        <f>9467/N5</f>
        <v>9.4670000000000004E-2</v>
      </c>
      <c r="E8" s="29">
        <f>2916/N5</f>
        <v>2.9159999999999998E-2</v>
      </c>
      <c r="F8" s="18"/>
      <c r="G8" s="16"/>
      <c r="N8" s="2">
        <v>100</v>
      </c>
    </row>
    <row r="9" spans="1:14" x14ac:dyDescent="0.3">
      <c r="A9" s="18"/>
      <c r="B9" s="29">
        <v>64000</v>
      </c>
      <c r="C9" s="29">
        <f>22688/N4</f>
        <v>2.2688E-2</v>
      </c>
      <c r="D9" s="29">
        <f>17150/N5</f>
        <v>0.17150000000000001</v>
      </c>
      <c r="E9" s="29">
        <f>6175/N5</f>
        <v>6.1749999999999999E-2</v>
      </c>
      <c r="F9" s="18"/>
      <c r="G9" s="16"/>
    </row>
    <row r="10" spans="1:14" x14ac:dyDescent="0.3">
      <c r="A10" s="18"/>
      <c r="B10" s="29">
        <v>128000</v>
      </c>
      <c r="C10" s="29">
        <f>45662/N4</f>
        <v>4.5662000000000001E-2</v>
      </c>
      <c r="D10" s="29">
        <f>41559/N5</f>
        <v>0.41559000000000001</v>
      </c>
      <c r="E10" s="29">
        <f>14078/N5</f>
        <v>0.14077999999999999</v>
      </c>
      <c r="F10" s="18"/>
      <c r="G10" s="16"/>
    </row>
    <row r="11" spans="1:14" x14ac:dyDescent="0.3">
      <c r="A11" s="18"/>
      <c r="B11" s="29">
        <v>256000</v>
      </c>
      <c r="C11" s="29">
        <f>92855/N4</f>
        <v>9.2854999999999993E-2</v>
      </c>
      <c r="D11" s="29">
        <f>173891/N5</f>
        <v>1.73891</v>
      </c>
      <c r="E11" s="29">
        <f>33336/N5</f>
        <v>0.33335999999999999</v>
      </c>
      <c r="F11" s="18"/>
      <c r="G11" s="16"/>
    </row>
    <row r="12" spans="1:14" x14ac:dyDescent="0.3">
      <c r="A12" s="18"/>
      <c r="B12" s="29">
        <v>512000</v>
      </c>
      <c r="C12" s="29">
        <f>183177/N4</f>
        <v>0.18317700000000001</v>
      </c>
      <c r="D12" s="29">
        <f>443228/N6</f>
        <v>44.322800000000001</v>
      </c>
      <c r="E12" s="29">
        <f>84735/N5</f>
        <v>0.84735000000000005</v>
      </c>
      <c r="F12" s="18" t="s">
        <v>12</v>
      </c>
      <c r="G12" s="16"/>
    </row>
    <row r="13" spans="1:14" x14ac:dyDescent="0.3">
      <c r="A13" s="18" t="s">
        <v>11</v>
      </c>
      <c r="B13" s="29">
        <v>1024000</v>
      </c>
      <c r="C13" s="29">
        <f>33445/N5</f>
        <v>0.33445000000000003</v>
      </c>
      <c r="D13" s="29">
        <f>798380/N7</f>
        <v>798.38</v>
      </c>
      <c r="E13" s="29">
        <f>126575/N6</f>
        <v>12.657500000000001</v>
      </c>
      <c r="F13" s="18" t="s">
        <v>13</v>
      </c>
      <c r="G13" s="16" t="s">
        <v>12</v>
      </c>
    </row>
    <row r="14" spans="1:14" x14ac:dyDescent="0.3">
      <c r="A14" s="18"/>
      <c r="B14" s="29">
        <v>2048000</v>
      </c>
      <c r="C14" s="29">
        <f>89180/N5</f>
        <v>0.89180000000000004</v>
      </c>
      <c r="D14" s="29">
        <f>2706174/N7</f>
        <v>2706.174</v>
      </c>
      <c r="E14" s="29"/>
      <c r="F14" s="18"/>
      <c r="G14" s="16"/>
    </row>
    <row r="15" spans="1:14" x14ac:dyDescent="0.3">
      <c r="A15" s="18"/>
      <c r="B15" s="29">
        <v>4098000</v>
      </c>
      <c r="C15" s="29">
        <f>208982/N5</f>
        <v>2.08982</v>
      </c>
      <c r="D15" s="29"/>
      <c r="E15" s="29"/>
      <c r="F15" s="18"/>
      <c r="G15" s="16"/>
    </row>
    <row r="16" spans="1:14" x14ac:dyDescent="0.3">
      <c r="A16" s="18" t="s">
        <v>12</v>
      </c>
      <c r="B16" s="29">
        <v>8192000</v>
      </c>
      <c r="C16" s="29">
        <f>38116/N6</f>
        <v>3.8115999999999999</v>
      </c>
      <c r="D16" s="29"/>
      <c r="E16" s="29"/>
      <c r="F16" s="18"/>
      <c r="G16" s="16"/>
    </row>
    <row r="17" spans="1:7" x14ac:dyDescent="0.3">
      <c r="A17" s="18"/>
      <c r="B17" s="29">
        <v>16384000</v>
      </c>
      <c r="C17" s="29">
        <f>76717/N6</f>
        <v>7.6717000000000004</v>
      </c>
      <c r="D17" s="29"/>
      <c r="E17" s="29"/>
      <c r="F17" s="3"/>
      <c r="G17" s="7"/>
    </row>
    <row r="18" spans="1:7" x14ac:dyDescent="0.3">
      <c r="A18" s="18"/>
      <c r="B18" s="29">
        <v>32768000</v>
      </c>
      <c r="C18" s="29">
        <f>152463/N6</f>
        <v>15.2463</v>
      </c>
      <c r="D18" s="29"/>
      <c r="E18" s="29"/>
      <c r="F18" s="3"/>
      <c r="G18" s="7"/>
    </row>
    <row r="19" spans="1:7" x14ac:dyDescent="0.3">
      <c r="A19" s="18" t="s">
        <v>13</v>
      </c>
      <c r="B19" s="29">
        <v>65536000</v>
      </c>
      <c r="C19" s="29">
        <f>39209/N7</f>
        <v>39.209000000000003</v>
      </c>
      <c r="D19" s="29"/>
      <c r="E19" s="29"/>
      <c r="F19" s="3"/>
      <c r="G19" s="7"/>
    </row>
    <row r="20" spans="1:7" x14ac:dyDescent="0.3">
      <c r="A20" s="18"/>
      <c r="B20" s="29">
        <v>131072000</v>
      </c>
      <c r="C20" s="29">
        <f>78841/N7</f>
        <v>78.840999999999994</v>
      </c>
      <c r="D20" s="29"/>
      <c r="E20" s="29"/>
      <c r="F20" s="3"/>
      <c r="G20" s="7"/>
    </row>
    <row r="21" spans="1:7" x14ac:dyDescent="0.3">
      <c r="A21" s="19"/>
      <c r="B21" s="30">
        <v>262144000</v>
      </c>
      <c r="C21" s="30">
        <f>155026/N7</f>
        <v>155.02600000000001</v>
      </c>
      <c r="D21" s="30"/>
      <c r="E21" s="30"/>
      <c r="F21" s="20"/>
      <c r="G2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3716-F3A2-49BD-996D-A970964813E6}">
  <dimension ref="A2:N16"/>
  <sheetViews>
    <sheetView topLeftCell="B2" workbookViewId="0">
      <selection activeCell="B13" sqref="B13"/>
    </sheetView>
  </sheetViews>
  <sheetFormatPr baseColWidth="10" defaultRowHeight="14.4" x14ac:dyDescent="0.3"/>
  <cols>
    <col min="1" max="1" width="17.33203125" customWidth="1"/>
    <col min="6" max="6" width="16.21875" customWidth="1"/>
    <col min="7" max="7" width="15.6640625" customWidth="1"/>
  </cols>
  <sheetData>
    <row r="2" spans="1:14" x14ac:dyDescent="0.3">
      <c r="A2" s="28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13</v>
      </c>
      <c r="B3" s="29">
        <v>1000</v>
      </c>
      <c r="C3" s="29">
        <f>339/N7</f>
        <v>0.33900000000000002</v>
      </c>
      <c r="D3" s="29">
        <f>1390/N7</f>
        <v>1.39</v>
      </c>
      <c r="E3" s="29">
        <f>687/N7</f>
        <v>0.68700000000000006</v>
      </c>
      <c r="F3" s="18" t="s">
        <v>13</v>
      </c>
      <c r="G3" s="16" t="s">
        <v>13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834/N7</f>
        <v>0.83399999999999996</v>
      </c>
      <c r="D4" s="29">
        <f>5079/N7</f>
        <v>5.0789999999999997</v>
      </c>
      <c r="E4" s="29">
        <f>2047/N7</f>
        <v>2.0470000000000002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2917/N7</f>
        <v>2.9169999999999998</v>
      </c>
      <c r="D5" s="29">
        <f>20763/N7</f>
        <v>20.763000000000002</v>
      </c>
      <c r="E5" s="29">
        <f>7031/N7</f>
        <v>7.0309999999999997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10920/N7</f>
        <v>10.92</v>
      </c>
      <c r="D6" s="29">
        <f>83905/N7</f>
        <v>83.905000000000001</v>
      </c>
      <c r="E6" s="29">
        <f>28636/N7</f>
        <v>28.635999999999999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44490/N7</f>
        <v>44.49</v>
      </c>
      <c r="D7" s="29">
        <f>33260/N8</f>
        <v>332.6</v>
      </c>
      <c r="E7" s="29">
        <f>110318/N7</f>
        <v>110.318</v>
      </c>
      <c r="F7" s="18" t="s">
        <v>14</v>
      </c>
      <c r="G7" s="16"/>
      <c r="N7" s="3">
        <v>1000</v>
      </c>
    </row>
    <row r="8" spans="1:14" x14ac:dyDescent="0.3">
      <c r="A8" s="18"/>
      <c r="B8" s="29">
        <v>32000</v>
      </c>
      <c r="C8" s="29">
        <f>170259/N7</f>
        <v>170.25899999999999</v>
      </c>
      <c r="D8" s="29">
        <f>133469/N8</f>
        <v>1334.69</v>
      </c>
      <c r="E8" s="29">
        <f>49948/N8</f>
        <v>499.48</v>
      </c>
      <c r="F8" s="18"/>
      <c r="G8" s="16" t="s">
        <v>19</v>
      </c>
      <c r="N8" s="2">
        <v>100</v>
      </c>
    </row>
    <row r="9" spans="1:14" x14ac:dyDescent="0.3">
      <c r="A9" s="18" t="s">
        <v>14</v>
      </c>
      <c r="B9" s="29">
        <v>64000</v>
      </c>
      <c r="C9" s="29">
        <f>68406/N8</f>
        <v>684.06</v>
      </c>
      <c r="D9" s="29">
        <f>53486/N9</f>
        <v>5348.6</v>
      </c>
      <c r="E9" s="29">
        <f>202093/N8</f>
        <v>2020.93</v>
      </c>
      <c r="F9" s="18" t="s">
        <v>17</v>
      </c>
      <c r="G9" s="16"/>
      <c r="N9" s="21">
        <v>10</v>
      </c>
    </row>
    <row r="10" spans="1:14" x14ac:dyDescent="0.3">
      <c r="A10" s="18" t="s">
        <v>17</v>
      </c>
      <c r="B10" s="29">
        <v>128000</v>
      </c>
      <c r="C10" s="29">
        <f>28351/N9</f>
        <v>2835.1</v>
      </c>
      <c r="D10" s="29">
        <f>212169/N9</f>
        <v>21216.9</v>
      </c>
      <c r="E10" s="29">
        <f>93075/N9</f>
        <v>9307.5</v>
      </c>
      <c r="F10" s="18"/>
      <c r="G10" s="16" t="s">
        <v>17</v>
      </c>
      <c r="N10" s="21">
        <v>1</v>
      </c>
    </row>
    <row r="11" spans="1:14" x14ac:dyDescent="0.3">
      <c r="A11" s="18" t="s">
        <v>18</v>
      </c>
      <c r="B11" s="29">
        <v>256000</v>
      </c>
      <c r="C11" s="29">
        <f>112062/N9</f>
        <v>11206.2</v>
      </c>
      <c r="D11" s="29">
        <f>87620/N10</f>
        <v>87620</v>
      </c>
      <c r="E11" s="29">
        <f>37984/N10</f>
        <v>37984</v>
      </c>
      <c r="F11" s="18" t="s">
        <v>18</v>
      </c>
      <c r="G11" s="16" t="s">
        <v>18</v>
      </c>
    </row>
    <row r="12" spans="1:14" x14ac:dyDescent="0.3">
      <c r="A12" s="18"/>
      <c r="B12" s="29">
        <v>512000</v>
      </c>
      <c r="C12" s="29">
        <f>54171/N10</f>
        <v>54171</v>
      </c>
      <c r="D12" s="29"/>
      <c r="E12" s="29">
        <f>155384/N10</f>
        <v>155384</v>
      </c>
      <c r="F12" s="18"/>
      <c r="G12" s="16"/>
    </row>
    <row r="13" spans="1:14" x14ac:dyDescent="0.3">
      <c r="A13" s="19"/>
      <c r="B13" s="30">
        <v>1024000</v>
      </c>
      <c r="C13" s="30">
        <f>213088/N10</f>
        <v>213088</v>
      </c>
      <c r="D13" s="30"/>
      <c r="E13" s="30"/>
      <c r="F13" s="19"/>
      <c r="G13" s="27"/>
    </row>
    <row r="14" spans="1:14" x14ac:dyDescent="0.3">
      <c r="F14" s="10"/>
    </row>
    <row r="15" spans="1:14" x14ac:dyDescent="0.3">
      <c r="F15" s="10"/>
    </row>
    <row r="16" spans="1:14" x14ac:dyDescent="0.3">
      <c r="F16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FF28-3494-42A9-B9A1-1E9767DE072A}">
  <dimension ref="A2:N18"/>
  <sheetViews>
    <sheetView workbookViewId="0">
      <selection activeCell="I8" sqref="I8"/>
    </sheetView>
  </sheetViews>
  <sheetFormatPr baseColWidth="10" defaultRowHeight="14.4" x14ac:dyDescent="0.3"/>
  <cols>
    <col min="1" max="1" width="17" customWidth="1"/>
    <col min="6" max="6" width="15.33203125" customWidth="1"/>
    <col min="7" max="7" width="15.6640625" customWidth="1"/>
  </cols>
  <sheetData>
    <row r="2" spans="1:14" x14ac:dyDescent="0.3">
      <c r="A2" s="28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13</v>
      </c>
      <c r="B3" s="29">
        <v>1000</v>
      </c>
      <c r="C3" s="29">
        <f>286/N7</f>
        <v>0.28599999999999998</v>
      </c>
      <c r="D3" s="29">
        <f>466/N7</f>
        <v>0.46600000000000003</v>
      </c>
      <c r="E3" s="29">
        <f>772/N7</f>
        <v>0.77200000000000002</v>
      </c>
      <c r="F3" s="18" t="s">
        <v>13</v>
      </c>
      <c r="G3" s="16" t="s">
        <v>13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666/N7</f>
        <v>0.66600000000000004</v>
      </c>
      <c r="D4" s="29">
        <f>1067/N7</f>
        <v>1.0669999999999999</v>
      </c>
      <c r="E4" s="29">
        <f>2541/N7</f>
        <v>2.5409999999999999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2786/N7</f>
        <v>2.786</v>
      </c>
      <c r="D5" s="29">
        <f>7153/N7</f>
        <v>7.1529999999999996</v>
      </c>
      <c r="E5" s="29">
        <f>15379/N7</f>
        <v>15.379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17826/N7</f>
        <v>17.826000000000001</v>
      </c>
      <c r="D6" s="29">
        <f>34489/N7</f>
        <v>34.488999999999997</v>
      </c>
      <c r="E6" s="29">
        <f>61243/N7</f>
        <v>61.243000000000002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74792/N7</f>
        <v>74.792000000000002</v>
      </c>
      <c r="D7" s="29">
        <f>130116/N7</f>
        <v>130.11600000000001</v>
      </c>
      <c r="E7" s="29">
        <f>238481/N7</f>
        <v>238.48099999999999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292257/N7</f>
        <v>292.25700000000001</v>
      </c>
      <c r="D8" s="29">
        <f>95853/N8</f>
        <v>958.53</v>
      </c>
      <c r="E8" s="29">
        <f>98607/N8</f>
        <v>986.07</v>
      </c>
      <c r="F8" s="18" t="s">
        <v>14</v>
      </c>
      <c r="G8" s="16" t="s">
        <v>14</v>
      </c>
      <c r="N8" s="2">
        <v>100</v>
      </c>
    </row>
    <row r="9" spans="1:14" x14ac:dyDescent="0.3">
      <c r="A9" s="18" t="s">
        <v>19</v>
      </c>
      <c r="B9" s="29">
        <v>64000</v>
      </c>
      <c r="C9" s="29">
        <f>115635/N8</f>
        <v>1156.3499999999999</v>
      </c>
      <c r="D9" s="29">
        <f>43279/N9</f>
        <v>4327.8999999999996</v>
      </c>
      <c r="E9" s="29">
        <f>53245/N9</f>
        <v>5324.5</v>
      </c>
      <c r="F9" s="18" t="s">
        <v>20</v>
      </c>
      <c r="G9" s="16" t="s">
        <v>17</v>
      </c>
      <c r="N9" s="21">
        <v>10</v>
      </c>
    </row>
    <row r="10" spans="1:14" x14ac:dyDescent="0.3">
      <c r="A10" s="18" t="s">
        <v>17</v>
      </c>
      <c r="B10" s="29">
        <v>128000</v>
      </c>
      <c r="C10" s="29">
        <f>52696/N9</f>
        <v>5269.6</v>
      </c>
      <c r="D10" s="29">
        <f>170427/N9</f>
        <v>17042.7</v>
      </c>
      <c r="E10" s="29">
        <f>212859/N9</f>
        <v>21285.9</v>
      </c>
      <c r="F10" s="18"/>
      <c r="G10" s="16"/>
      <c r="N10" s="21">
        <v>1</v>
      </c>
    </row>
    <row r="11" spans="1:14" x14ac:dyDescent="0.3">
      <c r="A11" s="18"/>
      <c r="B11" s="29">
        <v>256000</v>
      </c>
      <c r="C11" s="29">
        <f>210987/N9</f>
        <v>21098.7</v>
      </c>
      <c r="D11" s="29">
        <f>112352/N10</f>
        <v>112352</v>
      </c>
      <c r="E11" s="29"/>
      <c r="F11" s="18" t="s">
        <v>18</v>
      </c>
      <c r="G11" s="16"/>
    </row>
    <row r="12" spans="1:14" x14ac:dyDescent="0.3">
      <c r="A12" s="19" t="s">
        <v>18</v>
      </c>
      <c r="B12" s="30">
        <v>512000</v>
      </c>
      <c r="C12" s="30">
        <f>84672/N10</f>
        <v>84672</v>
      </c>
      <c r="D12" s="30"/>
      <c r="E12" s="30"/>
      <c r="F12" s="19"/>
      <c r="G12" s="27"/>
    </row>
    <row r="13" spans="1:14" x14ac:dyDescent="0.3">
      <c r="A13" s="10"/>
      <c r="B13" s="31"/>
      <c r="C13" s="31"/>
      <c r="D13" s="31"/>
      <c r="E13" s="31"/>
      <c r="F13" s="10"/>
      <c r="G13" s="10"/>
    </row>
    <row r="14" spans="1:14" x14ac:dyDescent="0.3">
      <c r="A14" s="10"/>
      <c r="B14" s="31"/>
      <c r="C14" s="31"/>
      <c r="D14" s="31"/>
      <c r="E14" s="31"/>
      <c r="F14" s="10"/>
      <c r="G14" s="10"/>
    </row>
    <row r="15" spans="1:14" x14ac:dyDescent="0.3">
      <c r="A15" s="10"/>
      <c r="B15" s="31"/>
      <c r="C15" s="31"/>
      <c r="D15" s="31"/>
      <c r="E15" s="31"/>
      <c r="F15" s="10"/>
      <c r="G15" s="10"/>
    </row>
    <row r="16" spans="1:14" x14ac:dyDescent="0.3">
      <c r="A16" s="10"/>
      <c r="B16" s="31"/>
      <c r="C16" s="31"/>
      <c r="D16" s="31"/>
      <c r="E16" s="31"/>
      <c r="F16" s="10"/>
      <c r="G16" s="10"/>
    </row>
    <row r="17" spans="2:7" x14ac:dyDescent="0.3">
      <c r="B17" s="31"/>
      <c r="C17" s="31"/>
      <c r="D17" s="31"/>
      <c r="E17" s="31"/>
      <c r="F17" s="10"/>
      <c r="G17" s="10"/>
    </row>
    <row r="18" spans="2:7" x14ac:dyDescent="0.3">
      <c r="B18" s="31"/>
      <c r="C18" s="31"/>
      <c r="D18" s="31"/>
      <c r="E18" s="3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03C-3F20-4835-AC65-1A4FE3A04F85}">
  <dimension ref="A2:N21"/>
  <sheetViews>
    <sheetView tabSelected="1" topLeftCell="A10" workbookViewId="0">
      <selection activeCell="I9" sqref="I9"/>
    </sheetView>
  </sheetViews>
  <sheetFormatPr baseColWidth="10" defaultRowHeight="14.4" x14ac:dyDescent="0.3"/>
  <cols>
    <col min="1" max="1" width="17.109375" customWidth="1"/>
    <col min="6" max="6" width="14.33203125" customWidth="1"/>
    <col min="7" max="7" width="15.6640625" customWidth="1"/>
  </cols>
  <sheetData>
    <row r="2" spans="1:14" x14ac:dyDescent="0.3">
      <c r="A2" s="28" t="s">
        <v>8</v>
      </c>
      <c r="B2" s="22" t="s">
        <v>4</v>
      </c>
      <c r="C2" s="23" t="s">
        <v>5</v>
      </c>
      <c r="D2" s="24" t="s">
        <v>6</v>
      </c>
      <c r="E2" s="25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12</v>
      </c>
      <c r="B3" s="29">
        <v>1000</v>
      </c>
      <c r="C3" s="29">
        <f>288/N6</f>
        <v>2.8799999999999999E-2</v>
      </c>
      <c r="D3" s="29">
        <f>292/N6</f>
        <v>2.92E-2</v>
      </c>
      <c r="E3" s="29">
        <f>188/N6</f>
        <v>1.8800000000000001E-2</v>
      </c>
      <c r="F3" s="18" t="s">
        <v>12</v>
      </c>
      <c r="G3" s="16" t="s">
        <v>12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392/N6</f>
        <v>3.9199999999999999E-2</v>
      </c>
      <c r="D4" s="29">
        <f>480/N6</f>
        <v>4.8000000000000001E-2</v>
      </c>
      <c r="E4" s="29">
        <f>328/N6</f>
        <v>3.2800000000000003E-2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560/N6</f>
        <v>5.6000000000000001E-2</v>
      </c>
      <c r="D5" s="29">
        <f>987/N6</f>
        <v>9.8699999999999996E-2</v>
      </c>
      <c r="E5" s="29">
        <f>531/N6</f>
        <v>5.3100000000000001E-2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1104/N6</f>
        <v>0.1104</v>
      </c>
      <c r="D6" s="29">
        <f>2610/N6</f>
        <v>0.26100000000000001</v>
      </c>
      <c r="E6" s="29">
        <f>1016/N6</f>
        <v>0.1016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3788/N6</f>
        <v>0.37880000000000003</v>
      </c>
      <c r="D7" s="29">
        <f>7209/N6</f>
        <v>0.72089999999999999</v>
      </c>
      <c r="E7" s="29">
        <f>2172/N6</f>
        <v>0.2172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10757/N6</f>
        <v>1.0757000000000001</v>
      </c>
      <c r="D8" s="29">
        <f>15982/N6</f>
        <v>1.5982000000000001</v>
      </c>
      <c r="E8" s="29">
        <f>4708/N6</f>
        <v>0.4708</v>
      </c>
      <c r="F8" s="18"/>
      <c r="G8" s="16"/>
      <c r="N8" s="2">
        <v>100</v>
      </c>
    </row>
    <row r="9" spans="1:14" x14ac:dyDescent="0.3">
      <c r="A9" s="18"/>
      <c r="B9" s="29">
        <v>64000</v>
      </c>
      <c r="C9" s="29">
        <f>22686/N6</f>
        <v>2.2686000000000002</v>
      </c>
      <c r="D9" s="29">
        <f>32774/N6</f>
        <v>3.2774000000000001</v>
      </c>
      <c r="E9" s="29">
        <f>10104/N6</f>
        <v>1.0104</v>
      </c>
      <c r="F9" s="18"/>
      <c r="G9" s="16"/>
      <c r="N9" s="21">
        <v>10</v>
      </c>
    </row>
    <row r="10" spans="1:14" x14ac:dyDescent="0.3">
      <c r="A10" s="18"/>
      <c r="B10" s="29">
        <v>128000</v>
      </c>
      <c r="C10" s="29">
        <f>50964/N6</f>
        <v>5.0964</v>
      </c>
      <c r="D10" s="29">
        <f>68852/N6</f>
        <v>6.8852000000000002</v>
      </c>
      <c r="E10" s="29">
        <f>21744/N6</f>
        <v>2.1743999999999999</v>
      </c>
      <c r="F10" s="18"/>
      <c r="G10" s="16"/>
      <c r="N10" s="21">
        <v>1</v>
      </c>
    </row>
    <row r="11" spans="1:14" x14ac:dyDescent="0.3">
      <c r="A11" s="18"/>
      <c r="B11" s="29">
        <v>256000</v>
      </c>
      <c r="C11" s="29">
        <f>103630/N6</f>
        <v>10.363</v>
      </c>
      <c r="D11" s="29">
        <f>140568/N6</f>
        <v>14.056800000000001</v>
      </c>
      <c r="E11" s="29">
        <f>46412/N6</f>
        <v>4.6412000000000004</v>
      </c>
      <c r="F11" s="18"/>
      <c r="G11" s="16"/>
    </row>
    <row r="12" spans="1:14" x14ac:dyDescent="0.3">
      <c r="A12" s="18" t="s">
        <v>21</v>
      </c>
      <c r="B12" s="29">
        <v>512000</v>
      </c>
      <c r="C12" s="29">
        <f>26720/N7</f>
        <v>26.72</v>
      </c>
      <c r="D12" s="29">
        <f>29707/N7</f>
        <v>29.707000000000001</v>
      </c>
      <c r="E12" s="29">
        <f>108853/N6</f>
        <v>10.885300000000001</v>
      </c>
      <c r="F12" s="18" t="s">
        <v>13</v>
      </c>
      <c r="G12" s="16"/>
    </row>
    <row r="13" spans="1:14" x14ac:dyDescent="0.3">
      <c r="A13" s="18"/>
      <c r="B13" s="29">
        <v>1024000</v>
      </c>
      <c r="C13" s="29">
        <f>60363/N7</f>
        <v>60.363</v>
      </c>
      <c r="D13" s="29">
        <f>62270/N7</f>
        <v>62.27</v>
      </c>
      <c r="E13" s="29">
        <f>31890/N7</f>
        <v>31.89</v>
      </c>
      <c r="F13" s="18"/>
      <c r="G13" s="16" t="s">
        <v>21</v>
      </c>
    </row>
    <row r="14" spans="1:14" x14ac:dyDescent="0.3">
      <c r="A14" s="18"/>
      <c r="B14" s="29">
        <v>2048000</v>
      </c>
      <c r="C14" s="29">
        <f>116510/N7</f>
        <v>116.51</v>
      </c>
      <c r="D14" s="29">
        <f>129568/N7</f>
        <v>129.56800000000001</v>
      </c>
      <c r="E14" s="29">
        <f>80916/N7</f>
        <v>80.915999999999997</v>
      </c>
      <c r="F14" s="18"/>
      <c r="G14" s="16"/>
    </row>
    <row r="15" spans="1:14" x14ac:dyDescent="0.3">
      <c r="A15" s="18" t="s">
        <v>14</v>
      </c>
      <c r="B15" s="29">
        <v>4098000</v>
      </c>
      <c r="C15" s="29">
        <f>27581/N8</f>
        <v>275.81</v>
      </c>
      <c r="D15" s="29">
        <f>29093/N8</f>
        <v>290.93</v>
      </c>
      <c r="E15" s="29">
        <f>218803/N7</f>
        <v>218.803</v>
      </c>
      <c r="F15" s="18" t="s">
        <v>14</v>
      </c>
      <c r="G15" s="16"/>
    </row>
    <row r="16" spans="1:14" x14ac:dyDescent="0.3">
      <c r="A16" s="18"/>
      <c r="B16" s="29">
        <v>8192000</v>
      </c>
      <c r="C16" s="29">
        <f>56431/N8</f>
        <v>564.30999999999995</v>
      </c>
      <c r="D16" s="29">
        <f>63133/N8</f>
        <v>631.33000000000004</v>
      </c>
      <c r="E16" s="29">
        <f>75531/N8</f>
        <v>755.31</v>
      </c>
      <c r="F16" s="18"/>
      <c r="G16" s="16" t="s">
        <v>14</v>
      </c>
    </row>
    <row r="17" spans="1:7" x14ac:dyDescent="0.3">
      <c r="A17" s="18"/>
      <c r="B17" s="29">
        <v>16384000</v>
      </c>
      <c r="C17" s="29">
        <f>114416/N8</f>
        <v>1144.1600000000001</v>
      </c>
      <c r="D17" s="29">
        <f>124582/N8</f>
        <v>1245.82</v>
      </c>
      <c r="E17" s="29">
        <f>252586/N8</f>
        <v>2525.86</v>
      </c>
      <c r="F17" s="18"/>
      <c r="G17" s="16"/>
    </row>
    <row r="18" spans="1:7" x14ac:dyDescent="0.3">
      <c r="A18" s="18" t="s">
        <v>17</v>
      </c>
      <c r="B18" s="29">
        <v>32768000</v>
      </c>
      <c r="C18" s="29">
        <f>24222/N9</f>
        <v>2422.1999999999998</v>
      </c>
      <c r="D18" s="29">
        <f>31402/N9</f>
        <v>3140.2</v>
      </c>
      <c r="E18" s="29">
        <f>57221/N9</f>
        <v>5722.1</v>
      </c>
      <c r="F18" s="18" t="s">
        <v>17</v>
      </c>
      <c r="G18" s="16" t="s">
        <v>17</v>
      </c>
    </row>
    <row r="19" spans="1:7" x14ac:dyDescent="0.3">
      <c r="A19" s="3"/>
      <c r="B19" s="29">
        <v>65536000</v>
      </c>
      <c r="C19" s="29">
        <f>48752/N9</f>
        <v>4875.2</v>
      </c>
      <c r="D19" s="29">
        <f>63350/N9</f>
        <v>6335</v>
      </c>
      <c r="E19" s="29">
        <v>9638</v>
      </c>
      <c r="F19" s="18"/>
      <c r="G19" s="16" t="s">
        <v>18</v>
      </c>
    </row>
    <row r="20" spans="1:7" x14ac:dyDescent="0.3">
      <c r="A20" s="3"/>
      <c r="B20" s="29">
        <v>131072000</v>
      </c>
      <c r="C20" s="29">
        <f>99491/N9</f>
        <v>9949.1</v>
      </c>
      <c r="D20" s="29">
        <f>133110/N9</f>
        <v>13311</v>
      </c>
      <c r="E20" s="29">
        <f>24260/N10</f>
        <v>24260</v>
      </c>
      <c r="F20" s="3"/>
      <c r="G20" s="16"/>
    </row>
    <row r="21" spans="1:7" x14ac:dyDescent="0.3">
      <c r="A21" s="20"/>
      <c r="B21" s="30">
        <v>262144000</v>
      </c>
      <c r="C21" s="30">
        <f>204052/N9</f>
        <v>20405.2</v>
      </c>
      <c r="D21" s="30">
        <f>56223/N10</f>
        <v>56223</v>
      </c>
      <c r="E21" s="30">
        <f>66922/N10</f>
        <v>66922</v>
      </c>
      <c r="F21" s="19" t="s">
        <v>18</v>
      </c>
      <c r="G21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Insercción</vt:lpstr>
      <vt:lpstr>Selección</vt:lpstr>
      <vt:lpstr>Burbuja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2021-02-27T04:14:05Z</dcterms:modified>
</cp:coreProperties>
</file>