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fer\git\alg_AunonAndreaUO277876\src\main\java\algestudiante\p31\"/>
    </mc:Choice>
  </mc:AlternateContent>
  <xr:revisionPtr revIDLastSave="0" documentId="13_ncr:1_{79B8331A-10C1-433F-907A-42CF15E8170F}" xr6:coauthVersionLast="46" xr6:coauthVersionMax="46" xr10:uidLastSave="{00000000-0000-0000-0000-000000000000}"/>
  <bookViews>
    <workbookView xWindow="-108" yWindow="-108" windowWidth="23256" windowHeight="12576" xr2:uid="{760BF4A0-4F21-48FC-9449-0A68ABD67C67}"/>
  </bookViews>
  <sheets>
    <sheet name="División" sheetId="5" r:id="rId1"/>
    <sheet name="Sustracción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4" i="5" l="1"/>
  <c r="D13" i="5"/>
  <c r="D12" i="5"/>
  <c r="D11" i="5"/>
  <c r="D10" i="5"/>
  <c r="D9" i="5"/>
  <c r="D8" i="5"/>
  <c r="D7" i="5"/>
  <c r="D6" i="5"/>
  <c r="D5" i="5"/>
  <c r="D4" i="5"/>
  <c r="D3" i="5"/>
  <c r="C23" i="5"/>
  <c r="C26" i="5"/>
  <c r="C25" i="5"/>
  <c r="C24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E8" i="4"/>
  <c r="E7" i="4"/>
  <c r="E6" i="4"/>
  <c r="E5" i="4"/>
  <c r="E4" i="4"/>
  <c r="E3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D26" i="5"/>
  <c r="D25" i="5"/>
  <c r="D24" i="5"/>
  <c r="D23" i="5"/>
  <c r="D22" i="5"/>
  <c r="D21" i="5"/>
  <c r="D20" i="5"/>
  <c r="D19" i="5"/>
  <c r="D18" i="5"/>
  <c r="D17" i="5"/>
  <c r="D16" i="5"/>
  <c r="D15" i="5"/>
</calcChain>
</file>

<file path=xl/sharedStrings.xml><?xml version="1.0" encoding="utf-8"?>
<sst xmlns="http://schemas.openxmlformats.org/spreadsheetml/2006/main" count="65" uniqueCount="40">
  <si>
    <t>nVeces</t>
  </si>
  <si>
    <t>Mediciones realizadas en:</t>
  </si>
  <si>
    <t>Intel(R) Core(TM) i7-8550U</t>
  </si>
  <si>
    <t>RAM 16,0 GB</t>
  </si>
  <si>
    <t>n</t>
  </si>
  <si>
    <t>t(división1)</t>
  </si>
  <si>
    <t>t(división2)</t>
  </si>
  <si>
    <t>t(división3)</t>
  </si>
  <si>
    <t>nVeces (división1)</t>
  </si>
  <si>
    <t>nVeces (división2)</t>
  </si>
  <si>
    <t>nVeces (división3)</t>
  </si>
  <si>
    <t>t(sustracción1)</t>
  </si>
  <si>
    <t>t(sustracción2)</t>
  </si>
  <si>
    <t>t(sustracción3)</t>
  </si>
  <si>
    <t>nVeces (sustracción1)</t>
  </si>
  <si>
    <t>nVeces (sustracción2)</t>
  </si>
  <si>
    <t>nVeces (sustracción3)</t>
  </si>
  <si>
    <t>nVeces = 1000000000</t>
  </si>
  <si>
    <t>nVeces = 100000000</t>
  </si>
  <si>
    <t>nVeces =  1000000</t>
  </si>
  <si>
    <t>nVeces = 100000</t>
  </si>
  <si>
    <t>nVeces= 100000</t>
  </si>
  <si>
    <t>nVeces= 10000</t>
  </si>
  <si>
    <t>nVeces= 100000000</t>
  </si>
  <si>
    <t>nVeces= 10000000</t>
  </si>
  <si>
    <t>nVeces= 1000000</t>
  </si>
  <si>
    <t>nVeces= 1000</t>
  </si>
  <si>
    <t>nVeces = 10000000</t>
  </si>
  <si>
    <t>nVeces = 1000000</t>
  </si>
  <si>
    <t>nVeces = 10000</t>
  </si>
  <si>
    <t>nVeces = 1000</t>
  </si>
  <si>
    <t>nVeces = 100</t>
  </si>
  <si>
    <t xml:space="preserve">nVeces = 1000000 </t>
  </si>
  <si>
    <t>nVeces = 10</t>
  </si>
  <si>
    <t>Complejidades:</t>
  </si>
  <si>
    <t>O(n)</t>
  </si>
  <si>
    <t>O(2^n)</t>
  </si>
  <si>
    <t>O(nlogn)</t>
  </si>
  <si>
    <t>O(n^2)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</si>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</sst>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2" fillId="2" borderId="1" xfId="0" applyFont="1" applyFill="1" applyBorder="1"/>
    <xf numFmtId="0" fontId="0" fillId="0" borderId="1" xfId="0" applyBorder="1"/>
    <xf numFmtId="0" fontId="0" fillId="0" borderId="2" xfId="0" applyBorder="1"/>
    <xf numFmtId="0" fontId="1" fillId="2" borderId="3" xfId="0" applyFont="1" applyFill="1" applyBorder="1"/>
    <xf numFmtId="0" fontId="0" fillId="2" borderId="4" xfId="0" applyFill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3" borderId="9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2" fillId="5" borderId="9" xfId="0" applyFont="1" applyFill="1" applyBorder="1" applyAlignment="1">
      <alignment horizontal="center"/>
    </xf>
    <xf numFmtId="0" fontId="1" fillId="0" borderId="6" xfId="0" applyFont="1" applyBorder="1"/>
    <xf numFmtId="0" fontId="1" fillId="2" borderId="11" xfId="0" applyFont="1" applyFill="1" applyBorder="1" applyAlignment="1">
      <alignment horizontal="center"/>
    </xf>
    <xf numFmtId="0" fontId="1" fillId="0" borderId="2" xfId="0" applyFont="1" applyBorder="1"/>
    <xf numFmtId="0" fontId="0" fillId="0" borderId="12" xfId="0" applyBorder="1"/>
    <xf numFmtId="0" fontId="0" fillId="0" borderId="1" xfId="0" applyFill="1" applyBorder="1"/>
    <xf numFmtId="0" fontId="1" fillId="2" borderId="4" xfId="0" applyFont="1" applyFill="1" applyBorder="1"/>
    <xf numFmtId="0" fontId="1" fillId="2" borderId="11" xfId="0" applyFont="1" applyFill="1" applyBorder="1"/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0" xfId="0" applyBorder="1"/>
    <xf numFmtId="0" fontId="0" fillId="0" borderId="7" xfId="0" applyFill="1" applyBorder="1" applyAlignment="1">
      <alignment horizontal="center"/>
    </xf>
    <xf numFmtId="0" fontId="0" fillId="0" borderId="10" xfId="0" applyBorder="1"/>
    <xf numFmtId="0" fontId="0" fillId="0" borderId="12" xfId="0" applyBorder="1" applyAlignment="1">
      <alignment horizontal="center"/>
    </xf>
    <xf numFmtId="0" fontId="1" fillId="0" borderId="12" xfId="0" applyFont="1" applyBorder="1"/>
    <xf numFmtId="0" fontId="1" fillId="2" borderId="1" xfId="0" applyFont="1" applyFill="1" applyBorder="1"/>
    <xf numFmtId="0" fontId="1" fillId="0" borderId="5" xfId="0" applyFont="1" applyBorder="1"/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061474974587714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División!$C$2</c:f>
              <c:strCache>
                <c:ptCount val="1"/>
                <c:pt idx="0">
                  <c:v>t(división1)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División!$B$3:$B$26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  <c:pt idx="20">
                  <c:v>1048576</c:v>
                </c:pt>
                <c:pt idx="21">
                  <c:v>2097152</c:v>
                </c:pt>
                <c:pt idx="22">
                  <c:v>4194304</c:v>
                </c:pt>
                <c:pt idx="23">
                  <c:v>8388608</c:v>
                </c:pt>
              </c:numCache>
            </c:numRef>
          </c:xVal>
          <c:yVal>
            <c:numRef>
              <c:f>División!$C$3:$C$26</c:f>
              <c:numCache>
                <c:formatCode>General</c:formatCode>
                <c:ptCount val="24"/>
                <c:pt idx="0">
                  <c:v>4.3000000000000001E-8</c:v>
                </c:pt>
                <c:pt idx="1">
                  <c:v>2.277E-6</c:v>
                </c:pt>
                <c:pt idx="2">
                  <c:v>6.0260000000000004E-6</c:v>
                </c:pt>
                <c:pt idx="3">
                  <c:v>9.0229999999999998E-6</c:v>
                </c:pt>
                <c:pt idx="4">
                  <c:v>1.5973000000000001E-5</c:v>
                </c:pt>
                <c:pt idx="5">
                  <c:v>2.6636E-5</c:v>
                </c:pt>
                <c:pt idx="6">
                  <c:v>4.422E-5</c:v>
                </c:pt>
                <c:pt idx="7">
                  <c:v>9.0624999999999994E-5</c:v>
                </c:pt>
                <c:pt idx="8">
                  <c:v>1.63451E-4</c:v>
                </c:pt>
                <c:pt idx="9">
                  <c:v>3.455E-4</c:v>
                </c:pt>
                <c:pt idx="10">
                  <c:v>6.5558000000000001E-4</c:v>
                </c:pt>
                <c:pt idx="11">
                  <c:v>1.27283E-3</c:v>
                </c:pt>
                <c:pt idx="12">
                  <c:v>2.6789000000000001E-3</c:v>
                </c:pt>
                <c:pt idx="13">
                  <c:v>4.614E-3</c:v>
                </c:pt>
                <c:pt idx="14">
                  <c:v>9.3065999999999999E-3</c:v>
                </c:pt>
                <c:pt idx="15">
                  <c:v>1.98417E-2</c:v>
                </c:pt>
                <c:pt idx="16">
                  <c:v>3.9012999999999999E-2</c:v>
                </c:pt>
                <c:pt idx="17">
                  <c:v>8.9397000000000004E-2</c:v>
                </c:pt>
                <c:pt idx="18">
                  <c:v>0.151148</c:v>
                </c:pt>
                <c:pt idx="19">
                  <c:v>0.64520999999999995</c:v>
                </c:pt>
                <c:pt idx="20">
                  <c:v>1.28562</c:v>
                </c:pt>
                <c:pt idx="21">
                  <c:v>1.2125999999999999</c:v>
                </c:pt>
                <c:pt idx="22">
                  <c:v>2.4026999999999998</c:v>
                </c:pt>
                <c:pt idx="23">
                  <c:v>4.8531000000000004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A6E-4257-826E-AF8F6E6BA0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346863"/>
        <c:axId val="1821344367"/>
      </c:scatterChart>
      <c:valAx>
        <c:axId val="1821346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21344367"/>
        <c:crosses val="autoZero"/>
        <c:crossBetween val="midCat"/>
      </c:valAx>
      <c:valAx>
        <c:axId val="1821344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21346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9.7041166557477007E-2"/>
          <c:y val="0.15319444444444447"/>
          <c:w val="0.84288557336926295"/>
          <c:h val="0.7773611111111110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División!$D$2</c:f>
              <c:strCache>
                <c:ptCount val="1"/>
                <c:pt idx="0">
                  <c:v>t(división2)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División!$B$3:$B$26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  <c:pt idx="20">
                  <c:v>1048576</c:v>
                </c:pt>
                <c:pt idx="21">
                  <c:v>2097152</c:v>
                </c:pt>
                <c:pt idx="22">
                  <c:v>4194304</c:v>
                </c:pt>
                <c:pt idx="23">
                  <c:v>8388608</c:v>
                </c:pt>
              </c:numCache>
            </c:numRef>
          </c:xVal>
          <c:yVal>
            <c:numRef>
              <c:f>División!$D$3:$D$26</c:f>
              <c:numCache>
                <c:formatCode>General</c:formatCode>
                <c:ptCount val="24"/>
                <c:pt idx="0">
                  <c:v>7.1999999999999996E-8</c:v>
                </c:pt>
                <c:pt idx="1">
                  <c:v>9.6779999999999995E-6</c:v>
                </c:pt>
                <c:pt idx="2">
                  <c:v>1.2303999999999999E-5</c:v>
                </c:pt>
                <c:pt idx="3">
                  <c:v>4.3959999999999999E-5</c:v>
                </c:pt>
                <c:pt idx="4">
                  <c:v>5.6325E-5</c:v>
                </c:pt>
                <c:pt idx="5">
                  <c:v>1.8726600000000001E-4</c:v>
                </c:pt>
                <c:pt idx="6">
                  <c:v>2.2697E-4</c:v>
                </c:pt>
                <c:pt idx="7">
                  <c:v>7.4843000000000002E-4</c:v>
                </c:pt>
                <c:pt idx="8">
                  <c:v>9.3557000000000004E-4</c:v>
                </c:pt>
                <c:pt idx="9">
                  <c:v>7.5724E-3</c:v>
                </c:pt>
                <c:pt idx="10">
                  <c:v>8.5997999999999995E-3</c:v>
                </c:pt>
                <c:pt idx="11">
                  <c:v>3.0221000000000001E-2</c:v>
                </c:pt>
                <c:pt idx="12">
                  <c:v>5.0244999999999998E-2</c:v>
                </c:pt>
                <c:pt idx="13">
                  <c:v>0.12755900000000001</c:v>
                </c:pt>
                <c:pt idx="14">
                  <c:v>0.20119999999999999</c:v>
                </c:pt>
                <c:pt idx="15">
                  <c:v>0.50915999999999995</c:v>
                </c:pt>
                <c:pt idx="16">
                  <c:v>0.88990000000000002</c:v>
                </c:pt>
                <c:pt idx="17">
                  <c:v>2.1617700000000002</c:v>
                </c:pt>
                <c:pt idx="18">
                  <c:v>4.0481999999999996</c:v>
                </c:pt>
                <c:pt idx="19">
                  <c:v>10.0725</c:v>
                </c:pt>
                <c:pt idx="20">
                  <c:v>17.652000000000001</c:v>
                </c:pt>
                <c:pt idx="21">
                  <c:v>42.898000000000003</c:v>
                </c:pt>
                <c:pt idx="22">
                  <c:v>74.67</c:v>
                </c:pt>
                <c:pt idx="23">
                  <c:v>181.709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16A-4B04-8B6B-922C488C9A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346863"/>
        <c:axId val="1821344367"/>
      </c:scatterChart>
      <c:valAx>
        <c:axId val="1821346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21344367"/>
        <c:crosses val="autoZero"/>
        <c:crossBetween val="midCat"/>
      </c:valAx>
      <c:valAx>
        <c:axId val="1821344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21346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División!$E$2</c:f>
              <c:strCache>
                <c:ptCount val="1"/>
                <c:pt idx="0">
                  <c:v>t(división3)</c:v>
                </c:pt>
              </c:strCache>
            </c:strRef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xVal>
            <c:numRef>
              <c:f>División!$B$3:$B$26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  <c:pt idx="20">
                  <c:v>1048576</c:v>
                </c:pt>
                <c:pt idx="21">
                  <c:v>2097152</c:v>
                </c:pt>
                <c:pt idx="22">
                  <c:v>4194304</c:v>
                </c:pt>
                <c:pt idx="23">
                  <c:v>8388608</c:v>
                </c:pt>
              </c:numCache>
            </c:numRef>
          </c:xVal>
          <c:yVal>
            <c:numRef>
              <c:f>División!$E$3:$E$26</c:f>
              <c:numCache>
                <c:formatCode>General</c:formatCode>
                <c:ptCount val="24"/>
                <c:pt idx="0">
                  <c:v>1.36E-7</c:v>
                </c:pt>
                <c:pt idx="1">
                  <c:v>2.3167E-5</c:v>
                </c:pt>
                <c:pt idx="2">
                  <c:v>3.2322E-5</c:v>
                </c:pt>
                <c:pt idx="3">
                  <c:v>1.11959E-4</c:v>
                </c:pt>
                <c:pt idx="4">
                  <c:v>1.4747E-4</c:v>
                </c:pt>
                <c:pt idx="5">
                  <c:v>4.8715999999999999E-4</c:v>
                </c:pt>
                <c:pt idx="6">
                  <c:v>6.0786E-4</c:v>
                </c:pt>
                <c:pt idx="7">
                  <c:v>1.9116599999999999E-3</c:v>
                </c:pt>
                <c:pt idx="8">
                  <c:v>2.4442000000000001E-3</c:v>
                </c:pt>
                <c:pt idx="9">
                  <c:v>7.7121000000000004E-3</c:v>
                </c:pt>
                <c:pt idx="10">
                  <c:v>9.9007000000000001E-3</c:v>
                </c:pt>
                <c:pt idx="11">
                  <c:v>3.1794999999999997E-2</c:v>
                </c:pt>
                <c:pt idx="12">
                  <c:v>3.9445000000000001E-2</c:v>
                </c:pt>
                <c:pt idx="13">
                  <c:v>0.124094</c:v>
                </c:pt>
                <c:pt idx="14">
                  <c:v>0.15562999999999999</c:v>
                </c:pt>
                <c:pt idx="15">
                  <c:v>0.50014999999999998</c:v>
                </c:pt>
                <c:pt idx="16">
                  <c:v>0.62243000000000004</c:v>
                </c:pt>
                <c:pt idx="17">
                  <c:v>1.99343</c:v>
                </c:pt>
                <c:pt idx="18">
                  <c:v>2.4759000000000002</c:v>
                </c:pt>
                <c:pt idx="19">
                  <c:v>7.8658000000000001</c:v>
                </c:pt>
                <c:pt idx="20">
                  <c:v>9.9710999999999999</c:v>
                </c:pt>
                <c:pt idx="21">
                  <c:v>32.110999999999997</c:v>
                </c:pt>
                <c:pt idx="22">
                  <c:v>40.085000000000001</c:v>
                </c:pt>
                <c:pt idx="23">
                  <c:v>126.504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5F3-4233-93A6-4A4F49BA34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346863"/>
        <c:axId val="1821344367"/>
      </c:scatterChart>
      <c:valAx>
        <c:axId val="1821346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21344367"/>
        <c:crosses val="autoZero"/>
        <c:crossBetween val="midCat"/>
      </c:valAx>
      <c:valAx>
        <c:axId val="1821344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21346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0.11691216903979129"/>
          <c:y val="0.19486111111111112"/>
          <c:w val="0.82870447286214033"/>
          <c:h val="0.7208876494604841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Sustracción!$C$2</c:f>
              <c:strCache>
                <c:ptCount val="1"/>
                <c:pt idx="0">
                  <c:v>t(sustracción1)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Sustracción!$B$3:$B$18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4098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</c:numCache>
            </c:numRef>
          </c:xVal>
          <c:yVal>
            <c:numRef>
              <c:f>Sustracción!$C$3:$C$18</c:f>
              <c:numCache>
                <c:formatCode>General</c:formatCode>
                <c:ptCount val="16"/>
                <c:pt idx="0">
                  <c:v>8.9999999999999999E-8</c:v>
                </c:pt>
                <c:pt idx="1">
                  <c:v>5.1159999999999998E-6</c:v>
                </c:pt>
                <c:pt idx="2">
                  <c:v>1.2503E-5</c:v>
                </c:pt>
                <c:pt idx="3">
                  <c:v>2.8138999999999999E-5</c:v>
                </c:pt>
                <c:pt idx="4">
                  <c:v>5.6745E-5</c:v>
                </c:pt>
                <c:pt idx="5">
                  <c:v>1.1825299999999999E-4</c:v>
                </c:pt>
                <c:pt idx="6">
                  <c:v>1.3857999999999999E-4</c:v>
                </c:pt>
                <c:pt idx="7">
                  <c:v>2.6158000000000003E-4</c:v>
                </c:pt>
                <c:pt idx="8">
                  <c:v>5.6185000000000002E-4</c:v>
                </c:pt>
                <c:pt idx="9">
                  <c:v>1.0606299999999999E-3</c:v>
                </c:pt>
                <c:pt idx="10">
                  <c:v>4.2931000000000002E-3</c:v>
                </c:pt>
                <c:pt idx="11">
                  <c:v>9.4696999999999993E-3</c:v>
                </c:pt>
                <c:pt idx="12">
                  <c:v>1.9399E-2</c:v>
                </c:pt>
                <c:pt idx="13">
                  <c:v>3.9403000000000001E-2</c:v>
                </c:pt>
                <c:pt idx="14">
                  <c:v>7.986E-2</c:v>
                </c:pt>
                <c:pt idx="15">
                  <c:v>0.16129099999999999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55E-4C0C-B7AA-C7C0CC01A2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346863"/>
        <c:axId val="1821344367"/>
      </c:scatterChart>
      <c:valAx>
        <c:axId val="1821346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21344367"/>
        <c:crosses val="autoZero"/>
        <c:crossBetween val="midCat"/>
      </c:valAx>
      <c:valAx>
        <c:axId val="1821344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21346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Sustracción!$D$2</c:f>
              <c:strCache>
                <c:ptCount val="1"/>
                <c:pt idx="0">
                  <c:v>t(sustracción2)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Sustracción!$B$3:$B$17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4098</c:v>
                </c:pt>
                <c:pt idx="13">
                  <c:v>8192</c:v>
                </c:pt>
                <c:pt idx="14">
                  <c:v>16384</c:v>
                </c:pt>
              </c:numCache>
            </c:numRef>
          </c:xVal>
          <c:yVal>
            <c:numRef>
              <c:f>Sustracción!$D$3:$D$17</c:f>
              <c:numCache>
                <c:formatCode>General</c:formatCode>
                <c:ptCount val="15"/>
                <c:pt idx="0">
                  <c:v>7.1999999999999997E-6</c:v>
                </c:pt>
                <c:pt idx="1">
                  <c:v>1.9599999999999999E-5</c:v>
                </c:pt>
                <c:pt idx="2">
                  <c:v>3.4499999999999998E-5</c:v>
                </c:pt>
                <c:pt idx="3">
                  <c:v>9.7999999999999997E-5</c:v>
                </c:pt>
                <c:pt idx="4">
                  <c:v>2.9690000000000001E-4</c:v>
                </c:pt>
                <c:pt idx="5">
                  <c:v>1.4534000000000001E-3</c:v>
                </c:pt>
                <c:pt idx="6">
                  <c:v>6.2896000000000002E-3</c:v>
                </c:pt>
                <c:pt idx="7">
                  <c:v>2.27592E-2</c:v>
                </c:pt>
                <c:pt idx="8">
                  <c:v>8.1767999999999993E-2</c:v>
                </c:pt>
                <c:pt idx="9">
                  <c:v>0.30502699999999999</c:v>
                </c:pt>
                <c:pt idx="10">
                  <c:v>1.5249200000000001</c:v>
                </c:pt>
                <c:pt idx="11">
                  <c:v>4.5934999999999997</c:v>
                </c:pt>
                <c:pt idx="12">
                  <c:v>18.003599999999999</c:v>
                </c:pt>
                <c:pt idx="13">
                  <c:v>76.408000000000001</c:v>
                </c:pt>
                <c:pt idx="14">
                  <c:v>304.68700000000001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7D7-4ACD-8A1C-9D283E570C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346863"/>
        <c:axId val="1821344367"/>
      </c:scatterChart>
      <c:valAx>
        <c:axId val="1821346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21344367"/>
        <c:crosses val="autoZero"/>
        <c:crossBetween val="midCat"/>
      </c:valAx>
      <c:valAx>
        <c:axId val="1821344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21346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Sustracción!$E$2</c:f>
              <c:strCache>
                <c:ptCount val="1"/>
                <c:pt idx="0">
                  <c:v>t(sustracción3)</c:v>
                </c:pt>
              </c:strCache>
            </c:strRef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xVal>
            <c:numRef>
              <c:f>Sustracción!$B$3:$B$8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Sustracción!$E$3:$E$8</c:f>
              <c:numCache>
                <c:formatCode>General</c:formatCode>
                <c:ptCount val="6"/>
                <c:pt idx="0">
                  <c:v>8.9000000000000003E-8</c:v>
                </c:pt>
                <c:pt idx="1">
                  <c:v>2.3391E-5</c:v>
                </c:pt>
                <c:pt idx="2">
                  <c:v>1.3114499999999999E-4</c:v>
                </c:pt>
                <c:pt idx="3">
                  <c:v>1.6495500000000001E-3</c:v>
                </c:pt>
                <c:pt idx="4">
                  <c:v>0.37792999999999999</c:v>
                </c:pt>
                <c:pt idx="5">
                  <c:v>14297.1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3BF-49B6-9741-26BDB1C143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346863"/>
        <c:axId val="1821344367"/>
      </c:scatterChart>
      <c:valAx>
        <c:axId val="1821346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21344367"/>
        <c:crosses val="autoZero"/>
        <c:crossBetween val="midCat"/>
      </c:valAx>
      <c:valAx>
        <c:axId val="1821344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21346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106680</xdr:colOff>
      <xdr:row>28</xdr:row>
      <xdr:rowOff>34290</xdr:rowOff>
    </xdr:from>
    <xdr:to>
      <xdr:col>5</xdr:col>
      <xdr:colOff>1043940</xdr:colOff>
      <xdr:row>43</xdr:row>
      <xdr:rowOff>34290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09D71C2-EE68-4776-B017-044AB1B5C7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38100</xdr:colOff>
      <xdr:row>28</xdr:row>
      <xdr:rowOff>30480</xdr:rowOff>
    </xdr:from>
    <xdr:to>
      <xdr:col>11</xdr:col>
      <xdr:colOff>647700</xdr:colOff>
      <xdr:row>43</xdr:row>
      <xdr:rowOff>30480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BD3300F-8227-4C4C-8C28-E8D976FAFB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53340</xdr:colOff>
      <xdr:row>28</xdr:row>
      <xdr:rowOff>60960</xdr:rowOff>
    </xdr:from>
    <xdr:to>
      <xdr:col>17</xdr:col>
      <xdr:colOff>662940</xdr:colOff>
      <xdr:row>43</xdr:row>
      <xdr:rowOff>60960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90CDC86-0C7C-4E79-AAD8-D754C49E99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179070</xdr:rowOff>
    </xdr:from>
    <xdr:to>
      <xdr:col>5</xdr:col>
      <xdr:colOff>800100</xdr:colOff>
      <xdr:row>34</xdr:row>
      <xdr:rowOff>179070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57D7CB8-AC21-4E29-B7C6-FA54173873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929640</xdr:colOff>
      <xdr:row>20</xdr:row>
      <xdr:rowOff>0</xdr:rowOff>
    </xdr:from>
    <xdr:to>
      <xdr:col>11</xdr:col>
      <xdr:colOff>228600</xdr:colOff>
      <xdr:row>35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76ED663-C724-4F21-B25C-B2D03FCD3E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388620</xdr:colOff>
      <xdr:row>20</xdr:row>
      <xdr:rowOff>7620</xdr:rowOff>
    </xdr:from>
    <xdr:to>
      <xdr:col>17</xdr:col>
      <xdr:colOff>205740</xdr:colOff>
      <xdr:row>35</xdr:row>
      <xdr:rowOff>7620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4BBBB460-7556-418D-BA48-10D7DF0E08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AC779-C55D-4822-8A6D-58AA05F2A758}">
  <dimension ref="A2:N27"/>
  <sheetViews>
    <sheetView tabSelected="1" workbookViewId="0">
      <selection activeCell="I11" sqref="I11"/>
    </sheetView>
  </sheetViews>
  <sheetFormatPr baseColWidth="10" defaultRowHeight="14.4" x14ac:dyDescent="0.3"/>
  <cols>
    <col min="1" max="1" width="19.21875" customWidth="1"/>
    <col min="2" max="2" width="14.21875" customWidth="1"/>
    <col min="3" max="3" width="12.33203125" customWidth="1"/>
    <col min="4" max="4" width="12.44140625" customWidth="1"/>
    <col min="5" max="5" width="12" bestFit="1" customWidth="1"/>
    <col min="6" max="6" width="19.21875" customWidth="1"/>
    <col min="7" max="7" width="19" customWidth="1"/>
  </cols>
  <sheetData>
    <row r="2" spans="1:14" x14ac:dyDescent="0.3">
      <c r="A2" s="14" t="s">
        <v>8</v>
      </c>
      <c r="B2" s="23" t="s">
        <v>4</v>
      </c>
      <c r="C2" s="10" t="s">
        <v>5</v>
      </c>
      <c r="D2" s="11" t="s">
        <v>6</v>
      </c>
      <c r="E2" s="12" t="s">
        <v>7</v>
      </c>
      <c r="F2" s="23" t="s">
        <v>9</v>
      </c>
      <c r="G2" s="14" t="s">
        <v>10</v>
      </c>
      <c r="J2" s="4" t="s">
        <v>1</v>
      </c>
      <c r="K2" s="5"/>
      <c r="N2" s="1" t="s">
        <v>0</v>
      </c>
    </row>
    <row r="3" spans="1:14" x14ac:dyDescent="0.3">
      <c r="A3" s="15" t="s">
        <v>17</v>
      </c>
      <c r="B3" s="24">
        <v>1</v>
      </c>
      <c r="C3" s="20">
        <f>43/N3</f>
        <v>4.3000000000000001E-8</v>
      </c>
      <c r="D3" s="20">
        <f>72/N3</f>
        <v>7.1999999999999996E-8</v>
      </c>
      <c r="E3" s="20">
        <f>136/N3</f>
        <v>1.36E-7</v>
      </c>
      <c r="F3" s="32" t="s">
        <v>17</v>
      </c>
      <c r="G3" s="15" t="s">
        <v>17</v>
      </c>
      <c r="J3" s="6" t="s">
        <v>2</v>
      </c>
      <c r="K3" s="7"/>
      <c r="N3" s="2">
        <v>1000000000</v>
      </c>
    </row>
    <row r="4" spans="1:14" x14ac:dyDescent="0.3">
      <c r="A4" s="15"/>
      <c r="B4" s="24">
        <v>2</v>
      </c>
      <c r="C4" s="20">
        <f>2277/N3</f>
        <v>2.277E-6</v>
      </c>
      <c r="D4" s="20">
        <f>9678/N3</f>
        <v>9.6779999999999995E-6</v>
      </c>
      <c r="E4" s="20">
        <f>23167/N3</f>
        <v>2.3167E-5</v>
      </c>
      <c r="F4" s="32"/>
      <c r="G4" s="15"/>
      <c r="J4" s="8" t="s">
        <v>3</v>
      </c>
      <c r="K4" s="9"/>
      <c r="N4" s="2">
        <v>100000000</v>
      </c>
    </row>
    <row r="5" spans="1:14" x14ac:dyDescent="0.3">
      <c r="A5" s="15"/>
      <c r="B5" s="24">
        <v>4</v>
      </c>
      <c r="C5" s="20">
        <f>6026/N3</f>
        <v>6.0260000000000004E-6</v>
      </c>
      <c r="D5" s="20">
        <f>12304/N3</f>
        <v>1.2303999999999999E-5</v>
      </c>
      <c r="E5" s="20">
        <f>32322/N3</f>
        <v>3.2322E-5</v>
      </c>
      <c r="F5" s="32"/>
      <c r="G5" s="15"/>
      <c r="N5" s="2">
        <v>10000000</v>
      </c>
    </row>
    <row r="6" spans="1:14" x14ac:dyDescent="0.3">
      <c r="A6" s="15"/>
      <c r="B6" s="24">
        <v>8</v>
      </c>
      <c r="C6" s="20">
        <f>9023/N3</f>
        <v>9.0229999999999998E-6</v>
      </c>
      <c r="D6" s="20">
        <f>43960/N3</f>
        <v>4.3959999999999999E-5</v>
      </c>
      <c r="E6" s="20">
        <f>111959/N3</f>
        <v>1.11959E-4</v>
      </c>
      <c r="F6" s="32"/>
      <c r="G6" s="15"/>
      <c r="N6" s="2">
        <v>1000000</v>
      </c>
    </row>
    <row r="7" spans="1:14" x14ac:dyDescent="0.3">
      <c r="A7" s="15"/>
      <c r="B7" s="24">
        <v>16</v>
      </c>
      <c r="C7" s="20">
        <f>15973/N3</f>
        <v>1.5973000000000001E-5</v>
      </c>
      <c r="D7" s="20">
        <f>56325/N3</f>
        <v>5.6325E-5</v>
      </c>
      <c r="E7" s="20">
        <f>14747/N4</f>
        <v>1.4747E-4</v>
      </c>
      <c r="F7" s="32"/>
      <c r="G7" s="15" t="s">
        <v>18</v>
      </c>
      <c r="N7" s="3">
        <v>100000</v>
      </c>
    </row>
    <row r="8" spans="1:14" x14ac:dyDescent="0.3">
      <c r="A8" s="15"/>
      <c r="B8" s="24">
        <v>32</v>
      </c>
      <c r="C8" s="20">
        <f>26636/N3</f>
        <v>2.6636E-5</v>
      </c>
      <c r="D8" s="20">
        <f>187266/N3</f>
        <v>1.8726600000000001E-4</v>
      </c>
      <c r="E8" s="20">
        <f>48716/N4</f>
        <v>4.8715999999999999E-4</v>
      </c>
      <c r="G8" s="15"/>
      <c r="N8" s="2">
        <v>10000</v>
      </c>
    </row>
    <row r="9" spans="1:14" x14ac:dyDescent="0.3">
      <c r="A9" s="15"/>
      <c r="B9" s="24">
        <v>64</v>
      </c>
      <c r="C9" s="20">
        <f>44220/N3</f>
        <v>4.422E-5</v>
      </c>
      <c r="D9" s="20">
        <f>22697/N4</f>
        <v>2.2697E-4</v>
      </c>
      <c r="E9" s="20">
        <f>60786/N4</f>
        <v>6.0786E-4</v>
      </c>
      <c r="F9" s="32" t="s">
        <v>23</v>
      </c>
      <c r="G9" s="15"/>
      <c r="N9" s="17">
        <v>1000</v>
      </c>
    </row>
    <row r="10" spans="1:14" x14ac:dyDescent="0.3">
      <c r="A10" s="15"/>
      <c r="B10" s="24">
        <v>128</v>
      </c>
      <c r="C10" s="20">
        <f>90625/N3</f>
        <v>9.0624999999999994E-5</v>
      </c>
      <c r="D10" s="20">
        <f>74843/N4</f>
        <v>7.4843000000000002E-4</v>
      </c>
      <c r="E10" s="20">
        <f>191166/N4</f>
        <v>1.9116599999999999E-3</v>
      </c>
      <c r="F10" s="32"/>
      <c r="G10" s="15"/>
      <c r="N10" s="17">
        <v>100</v>
      </c>
    </row>
    <row r="11" spans="1:14" x14ac:dyDescent="0.3">
      <c r="B11" s="24">
        <v>256</v>
      </c>
      <c r="C11" s="20">
        <f>163451/N3</f>
        <v>1.63451E-4</v>
      </c>
      <c r="D11" s="20">
        <f>93557/N4</f>
        <v>9.3557000000000004E-4</v>
      </c>
      <c r="E11" s="20">
        <f>24442/N5</f>
        <v>2.4442000000000001E-3</v>
      </c>
      <c r="G11" s="15" t="s">
        <v>27</v>
      </c>
      <c r="N11" s="17">
        <v>10</v>
      </c>
    </row>
    <row r="12" spans="1:14" x14ac:dyDescent="0.3">
      <c r="A12" s="15" t="s">
        <v>18</v>
      </c>
      <c r="B12" s="24">
        <v>512</v>
      </c>
      <c r="C12" s="20">
        <f>34550/N4</f>
        <v>3.455E-4</v>
      </c>
      <c r="D12" s="20">
        <f>75724/N5</f>
        <v>7.5724E-3</v>
      </c>
      <c r="E12" s="20">
        <f>77121/N5</f>
        <v>7.7121000000000004E-3</v>
      </c>
      <c r="F12" s="32" t="s">
        <v>24</v>
      </c>
      <c r="G12" s="15"/>
      <c r="N12" s="17">
        <v>1</v>
      </c>
    </row>
    <row r="13" spans="1:14" x14ac:dyDescent="0.3">
      <c r="A13" s="15"/>
      <c r="B13" s="24">
        <v>1024</v>
      </c>
      <c r="C13" s="20">
        <f>65558/N4</f>
        <v>6.5558000000000001E-4</v>
      </c>
      <c r="D13" s="20">
        <f>85998/N5</f>
        <v>8.5997999999999995E-3</v>
      </c>
      <c r="E13" s="20">
        <f>99007/N5</f>
        <v>9.9007000000000001E-3</v>
      </c>
      <c r="F13" s="32"/>
      <c r="G13" s="15"/>
    </row>
    <row r="14" spans="1:14" x14ac:dyDescent="0.3">
      <c r="B14" s="24">
        <v>2048</v>
      </c>
      <c r="C14" s="20">
        <f>127283/N4</f>
        <v>1.27283E-3</v>
      </c>
      <c r="D14" s="20">
        <f>30221/N6</f>
        <v>3.0221000000000001E-2</v>
      </c>
      <c r="E14" s="20">
        <f>31795/N6</f>
        <v>3.1794999999999997E-2</v>
      </c>
      <c r="F14" s="32" t="s">
        <v>25</v>
      </c>
      <c r="G14" s="15" t="s">
        <v>28</v>
      </c>
    </row>
    <row r="15" spans="1:14" x14ac:dyDescent="0.3">
      <c r="A15" s="15" t="s">
        <v>19</v>
      </c>
      <c r="B15" s="24">
        <v>4096</v>
      </c>
      <c r="C15" s="20">
        <f>26789/N5</f>
        <v>2.6789000000000001E-3</v>
      </c>
      <c r="D15" s="20">
        <f>50245/N6</f>
        <v>5.0244999999999998E-2</v>
      </c>
      <c r="E15" s="20">
        <f>39445/N6</f>
        <v>3.9445000000000001E-2</v>
      </c>
      <c r="F15" s="32"/>
      <c r="G15" s="15"/>
    </row>
    <row r="16" spans="1:14" x14ac:dyDescent="0.3">
      <c r="A16" s="15"/>
      <c r="B16" s="24">
        <v>8192</v>
      </c>
      <c r="C16" s="20">
        <f>46140/N5</f>
        <v>4.614E-3</v>
      </c>
      <c r="D16" s="20">
        <f>127559/N6</f>
        <v>0.12755900000000001</v>
      </c>
      <c r="E16" s="20">
        <f>124094/N6</f>
        <v>0.124094</v>
      </c>
      <c r="F16" s="32"/>
      <c r="G16" s="15"/>
    </row>
    <row r="17" spans="1:7" x14ac:dyDescent="0.3">
      <c r="B17" s="24">
        <v>16384</v>
      </c>
      <c r="C17" s="20">
        <f>93066/N5</f>
        <v>9.3065999999999999E-3</v>
      </c>
      <c r="D17" s="20">
        <f>20120/N7</f>
        <v>0.20119999999999999</v>
      </c>
      <c r="E17" s="20">
        <f>15563/N7</f>
        <v>0.15562999999999999</v>
      </c>
      <c r="F17" s="32" t="s">
        <v>21</v>
      </c>
      <c r="G17" s="15" t="s">
        <v>20</v>
      </c>
    </row>
    <row r="18" spans="1:7" x14ac:dyDescent="0.3">
      <c r="B18" s="24">
        <v>32768</v>
      </c>
      <c r="C18" s="20">
        <f>198417/N5</f>
        <v>1.98417E-2</v>
      </c>
      <c r="D18" s="20">
        <f>50916/N7</f>
        <v>0.50915999999999995</v>
      </c>
      <c r="E18" s="20">
        <f>50015/N7</f>
        <v>0.50014999999999998</v>
      </c>
      <c r="F18" s="32"/>
      <c r="G18" s="15"/>
    </row>
    <row r="19" spans="1:7" x14ac:dyDescent="0.3">
      <c r="A19" s="15" t="s">
        <v>20</v>
      </c>
      <c r="B19" s="24">
        <v>65536</v>
      </c>
      <c r="C19" s="20">
        <f>39013/N6</f>
        <v>3.9012999999999999E-2</v>
      </c>
      <c r="D19" s="20">
        <f>88990/N7</f>
        <v>0.88990000000000002</v>
      </c>
      <c r="E19" s="20">
        <f>62243/N7</f>
        <v>0.62243000000000004</v>
      </c>
      <c r="F19" s="32"/>
      <c r="G19" s="15"/>
    </row>
    <row r="20" spans="1:7" x14ac:dyDescent="0.3">
      <c r="B20" s="24">
        <v>131072</v>
      </c>
      <c r="C20" s="20">
        <f>89397/N6</f>
        <v>8.9397000000000004E-2</v>
      </c>
      <c r="D20" s="20">
        <f>216177/N7</f>
        <v>2.1617700000000002</v>
      </c>
      <c r="E20" s="20">
        <f>199343/N7</f>
        <v>1.99343</v>
      </c>
      <c r="F20" s="32"/>
      <c r="G20" s="15"/>
    </row>
    <row r="21" spans="1:7" x14ac:dyDescent="0.3">
      <c r="B21" s="24">
        <v>262144</v>
      </c>
      <c r="C21" s="20">
        <f>151148/N6</f>
        <v>0.151148</v>
      </c>
      <c r="D21" s="20">
        <f>40482/N8</f>
        <v>4.0481999999999996</v>
      </c>
      <c r="E21" s="20">
        <f>24759/N8</f>
        <v>2.4759000000000002</v>
      </c>
      <c r="F21" s="32" t="s">
        <v>22</v>
      </c>
      <c r="G21" s="15" t="s">
        <v>29</v>
      </c>
    </row>
    <row r="22" spans="1:7" x14ac:dyDescent="0.3">
      <c r="A22" s="15" t="s">
        <v>21</v>
      </c>
      <c r="B22" s="25">
        <v>524288</v>
      </c>
      <c r="C22" s="20">
        <f>64521/N7</f>
        <v>0.64520999999999995</v>
      </c>
      <c r="D22" s="20">
        <f>100725/N8</f>
        <v>10.0725</v>
      </c>
      <c r="E22" s="20">
        <f>78658/N8</f>
        <v>7.8658000000000001</v>
      </c>
      <c r="F22" s="32"/>
      <c r="G22" s="15"/>
    </row>
    <row r="23" spans="1:7" x14ac:dyDescent="0.3">
      <c r="B23" s="25">
        <v>1048576</v>
      </c>
      <c r="C23" s="20">
        <f>128562/N7</f>
        <v>1.28562</v>
      </c>
      <c r="D23" s="20">
        <f>17652/N9</f>
        <v>17.652000000000001</v>
      </c>
      <c r="E23" s="20">
        <f>99711/N8</f>
        <v>9.9710999999999999</v>
      </c>
      <c r="F23" s="32" t="s">
        <v>26</v>
      </c>
      <c r="G23" s="15"/>
    </row>
    <row r="24" spans="1:7" x14ac:dyDescent="0.3">
      <c r="A24" s="15" t="s">
        <v>22</v>
      </c>
      <c r="B24" s="25">
        <v>2097152</v>
      </c>
      <c r="C24" s="20">
        <f>12126/N8</f>
        <v>1.2125999999999999</v>
      </c>
      <c r="D24" s="20">
        <f>42898/N9</f>
        <v>42.898000000000003</v>
      </c>
      <c r="E24" s="20">
        <f>32111/N9</f>
        <v>32.110999999999997</v>
      </c>
      <c r="F24" s="32"/>
      <c r="G24" s="15" t="s">
        <v>30</v>
      </c>
    </row>
    <row r="25" spans="1:7" x14ac:dyDescent="0.3">
      <c r="A25" s="3"/>
      <c r="B25" s="25">
        <v>4194304</v>
      </c>
      <c r="C25" s="20">
        <f>24027/N8</f>
        <v>2.4026999999999998</v>
      </c>
      <c r="D25" s="20">
        <f>74670/N9</f>
        <v>74.67</v>
      </c>
      <c r="E25" s="20">
        <f>40085/N9</f>
        <v>40.085000000000001</v>
      </c>
      <c r="F25" s="32"/>
      <c r="G25" s="15"/>
    </row>
    <row r="26" spans="1:7" x14ac:dyDescent="0.3">
      <c r="A26" s="16"/>
      <c r="B26" s="27">
        <v>8388608</v>
      </c>
      <c r="C26" s="21">
        <f>48531/N8</f>
        <v>4.8531000000000004</v>
      </c>
      <c r="D26" s="21">
        <f>181709/N9</f>
        <v>181.709</v>
      </c>
      <c r="E26" s="21">
        <f>126504/N9</f>
        <v>126.504</v>
      </c>
      <c r="F26" s="8"/>
      <c r="G26" s="16"/>
    </row>
    <row r="27" spans="1:7" x14ac:dyDescent="0.3">
      <c r="B27" s="31" t="s">
        <v>34</v>
      </c>
      <c r="C27" s="33" t="s">
        <v>35</v>
      </c>
      <c r="D27" s="33" t="s">
        <v>37</v>
      </c>
      <c r="E27" s="33" t="s">
        <v>35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73716-F3A2-49BD-996D-A970964813E6}">
  <dimension ref="A2:N39"/>
  <sheetViews>
    <sheetView topLeftCell="E13" workbookViewId="0">
      <selection activeCell="T37" sqref="T37"/>
    </sheetView>
  </sheetViews>
  <sheetFormatPr baseColWidth="10" defaultRowHeight="14.4" x14ac:dyDescent="0.3"/>
  <cols>
    <col min="1" max="1" width="18.77734375" customWidth="1"/>
    <col min="2" max="2" width="13.88671875" customWidth="1"/>
    <col min="3" max="3" width="13.109375" customWidth="1"/>
    <col min="4" max="4" width="14.44140625" customWidth="1"/>
    <col min="5" max="5" width="13.6640625" customWidth="1"/>
    <col min="6" max="7" width="19.109375" customWidth="1"/>
  </cols>
  <sheetData>
    <row r="2" spans="1:14" x14ac:dyDescent="0.3">
      <c r="A2" s="19" t="s">
        <v>14</v>
      </c>
      <c r="B2" s="14" t="s">
        <v>4</v>
      </c>
      <c r="C2" s="10" t="s">
        <v>11</v>
      </c>
      <c r="D2" s="11" t="s">
        <v>12</v>
      </c>
      <c r="E2" s="12" t="s">
        <v>13</v>
      </c>
      <c r="F2" s="19" t="s">
        <v>15</v>
      </c>
      <c r="G2" s="18" t="s">
        <v>16</v>
      </c>
      <c r="J2" s="4" t="s">
        <v>1</v>
      </c>
      <c r="K2" s="5"/>
      <c r="N2" s="1" t="s">
        <v>0</v>
      </c>
    </row>
    <row r="3" spans="1:14" x14ac:dyDescent="0.3">
      <c r="A3" s="15" t="s">
        <v>17</v>
      </c>
      <c r="B3" s="22">
        <v>1</v>
      </c>
      <c r="C3" s="26">
        <f>90/N3</f>
        <v>8.9999999999999999E-8</v>
      </c>
      <c r="D3" s="26">
        <f>72/N5</f>
        <v>7.1999999999999997E-6</v>
      </c>
      <c r="E3" s="26">
        <f>89/N3</f>
        <v>8.9000000000000003E-8</v>
      </c>
      <c r="F3" s="15" t="s">
        <v>27</v>
      </c>
      <c r="G3" s="13" t="s">
        <v>17</v>
      </c>
      <c r="J3" s="6" t="s">
        <v>2</v>
      </c>
      <c r="K3" s="7"/>
      <c r="N3" s="2">
        <v>1000000000</v>
      </c>
    </row>
    <row r="4" spans="1:14" x14ac:dyDescent="0.3">
      <c r="A4" s="15"/>
      <c r="B4" s="22">
        <v>2</v>
      </c>
      <c r="C4" s="26">
        <f>5116/N3</f>
        <v>5.1159999999999998E-6</v>
      </c>
      <c r="D4" s="26">
        <f>196/N5</f>
        <v>1.9599999999999999E-5</v>
      </c>
      <c r="E4" s="26">
        <f>23391/N3</f>
        <v>2.3391E-5</v>
      </c>
      <c r="F4" s="15"/>
      <c r="G4" s="13"/>
      <c r="J4" s="8" t="s">
        <v>3</v>
      </c>
      <c r="K4" s="9"/>
      <c r="N4" s="2">
        <v>100000000</v>
      </c>
    </row>
    <row r="5" spans="1:14" x14ac:dyDescent="0.3">
      <c r="A5" s="15"/>
      <c r="B5" s="22">
        <v>4</v>
      </c>
      <c r="C5" s="26">
        <f>12503/N3</f>
        <v>1.2503E-5</v>
      </c>
      <c r="D5" s="26">
        <f>345/N5</f>
        <v>3.4499999999999998E-5</v>
      </c>
      <c r="E5" s="26">
        <f>131145/N3</f>
        <v>1.3114499999999999E-4</v>
      </c>
      <c r="F5" s="15"/>
      <c r="G5" s="13"/>
      <c r="N5" s="2">
        <v>10000000</v>
      </c>
    </row>
    <row r="6" spans="1:14" x14ac:dyDescent="0.3">
      <c r="A6" s="15"/>
      <c r="B6" s="22">
        <v>8</v>
      </c>
      <c r="C6" s="26">
        <f>28139/N3</f>
        <v>2.8138999999999999E-5</v>
      </c>
      <c r="D6" s="26">
        <f>980/N5</f>
        <v>9.7999999999999997E-5</v>
      </c>
      <c r="E6" s="26">
        <f>164955/N4</f>
        <v>1.6495500000000001E-3</v>
      </c>
      <c r="F6" s="15"/>
      <c r="G6" s="13" t="s">
        <v>18</v>
      </c>
      <c r="N6" s="2">
        <v>1000000</v>
      </c>
    </row>
    <row r="7" spans="1:14" x14ac:dyDescent="0.3">
      <c r="A7" s="15"/>
      <c r="B7" s="22">
        <v>16</v>
      </c>
      <c r="C7" s="26">
        <f>56745/N3</f>
        <v>5.6745E-5</v>
      </c>
      <c r="D7" s="26">
        <f>2969/N5</f>
        <v>2.9690000000000001E-4</v>
      </c>
      <c r="E7" s="26">
        <f>377930/N6</f>
        <v>0.37792999999999999</v>
      </c>
      <c r="F7" s="15"/>
      <c r="G7" s="13" t="s">
        <v>32</v>
      </c>
      <c r="N7" s="3">
        <v>100000</v>
      </c>
    </row>
    <row r="8" spans="1:14" x14ac:dyDescent="0.3">
      <c r="A8" s="15"/>
      <c r="B8" s="22">
        <v>32</v>
      </c>
      <c r="C8" s="26">
        <f>118253/N3</f>
        <v>1.1825299999999999E-4</v>
      </c>
      <c r="D8" s="26">
        <f>14534/N5</f>
        <v>1.4534000000000001E-3</v>
      </c>
      <c r="E8" s="26">
        <f>142971/N11</f>
        <v>14297.1</v>
      </c>
      <c r="F8" s="15"/>
      <c r="G8" s="13" t="s">
        <v>33</v>
      </c>
      <c r="N8" s="2">
        <v>10000</v>
      </c>
    </row>
    <row r="9" spans="1:14" x14ac:dyDescent="0.3">
      <c r="A9" s="15" t="s">
        <v>18</v>
      </c>
      <c r="B9" s="22">
        <v>64</v>
      </c>
      <c r="C9" s="26">
        <f>13858/N4</f>
        <v>1.3857999999999999E-4</v>
      </c>
      <c r="D9" s="26">
        <f>62896/N5</f>
        <v>6.2896000000000002E-3</v>
      </c>
      <c r="E9" s="26"/>
      <c r="F9" s="15"/>
      <c r="G9" s="13"/>
      <c r="N9" s="17">
        <v>1000</v>
      </c>
    </row>
    <row r="10" spans="1:14" x14ac:dyDescent="0.3">
      <c r="A10" s="15"/>
      <c r="B10" s="22">
        <v>128</v>
      </c>
      <c r="C10" s="26">
        <f>26158/N4</f>
        <v>2.6158000000000003E-4</v>
      </c>
      <c r="D10" s="26">
        <f>227592/N5</f>
        <v>2.27592E-2</v>
      </c>
      <c r="E10" s="26"/>
      <c r="F10" s="15"/>
      <c r="G10" s="13"/>
      <c r="N10" s="17">
        <v>100</v>
      </c>
    </row>
    <row r="11" spans="1:14" x14ac:dyDescent="0.3">
      <c r="A11" s="15"/>
      <c r="B11" s="22">
        <v>256</v>
      </c>
      <c r="C11" s="26">
        <f>56185/N4</f>
        <v>5.6185000000000002E-4</v>
      </c>
      <c r="D11" s="26">
        <f>81768/N6</f>
        <v>8.1767999999999993E-2</v>
      </c>
      <c r="E11" s="26"/>
      <c r="F11" s="15" t="s">
        <v>28</v>
      </c>
      <c r="G11" s="7"/>
      <c r="N11" s="17">
        <v>10</v>
      </c>
    </row>
    <row r="12" spans="1:14" x14ac:dyDescent="0.3">
      <c r="A12" s="32"/>
      <c r="B12" s="22">
        <v>512</v>
      </c>
      <c r="C12" s="26">
        <f>106063/N4</f>
        <v>1.0606299999999999E-3</v>
      </c>
      <c r="D12" s="26">
        <f>305027/N6</f>
        <v>0.30502699999999999</v>
      </c>
      <c r="E12" s="26"/>
      <c r="F12" s="15"/>
      <c r="G12" s="7"/>
      <c r="N12" s="17">
        <v>1</v>
      </c>
    </row>
    <row r="13" spans="1:14" x14ac:dyDescent="0.3">
      <c r="A13" s="32" t="s">
        <v>27</v>
      </c>
      <c r="B13" s="22">
        <v>1024</v>
      </c>
      <c r="C13" s="26">
        <f>42931/N5</f>
        <v>4.2931000000000002E-3</v>
      </c>
      <c r="D13" s="26">
        <f>152492/N7</f>
        <v>1.5249200000000001</v>
      </c>
      <c r="E13" s="26"/>
      <c r="F13" s="15" t="s">
        <v>20</v>
      </c>
      <c r="G13" s="7"/>
    </row>
    <row r="14" spans="1:14" x14ac:dyDescent="0.3">
      <c r="A14" s="32"/>
      <c r="B14" s="22">
        <v>2048</v>
      </c>
      <c r="C14" s="26">
        <f>94697/N5</f>
        <v>9.4696999999999993E-3</v>
      </c>
      <c r="D14" s="26">
        <f>45935/N8</f>
        <v>4.5934999999999997</v>
      </c>
      <c r="E14" s="26"/>
      <c r="F14" s="15" t="s">
        <v>29</v>
      </c>
      <c r="G14" s="7"/>
    </row>
    <row r="15" spans="1:14" x14ac:dyDescent="0.3">
      <c r="A15" s="32" t="s">
        <v>28</v>
      </c>
      <c r="B15" s="22">
        <v>4098</v>
      </c>
      <c r="C15" s="26">
        <f>19399/N6</f>
        <v>1.9399E-2</v>
      </c>
      <c r="D15" s="26">
        <f>180036/N8</f>
        <v>18.003599999999999</v>
      </c>
      <c r="E15" s="26"/>
      <c r="F15" s="15"/>
      <c r="G15" s="7"/>
    </row>
    <row r="16" spans="1:14" x14ac:dyDescent="0.3">
      <c r="A16" s="32"/>
      <c r="B16" s="22">
        <v>8192</v>
      </c>
      <c r="C16" s="26">
        <f>39403/N6</f>
        <v>3.9403000000000001E-2</v>
      </c>
      <c r="D16" s="26">
        <f>76408/N9</f>
        <v>76.408000000000001</v>
      </c>
      <c r="E16" s="26"/>
      <c r="F16" s="15" t="s">
        <v>30</v>
      </c>
      <c r="G16" s="7"/>
    </row>
    <row r="17" spans="1:7" x14ac:dyDescent="0.3">
      <c r="A17" s="6"/>
      <c r="B17" s="22">
        <v>16384</v>
      </c>
      <c r="C17" s="26">
        <f>79860/N6</f>
        <v>7.986E-2</v>
      </c>
      <c r="D17" s="26">
        <f>304687/N9</f>
        <v>304.68700000000001</v>
      </c>
      <c r="E17" s="26"/>
      <c r="F17" s="3"/>
      <c r="G17" s="7"/>
    </row>
    <row r="18" spans="1:7" x14ac:dyDescent="0.3">
      <c r="A18" s="16"/>
      <c r="B18" s="29">
        <v>32768</v>
      </c>
      <c r="C18" s="28">
        <f>161291/N6</f>
        <v>0.16129099999999999</v>
      </c>
      <c r="D18" s="28">
        <f>40918/N10</f>
        <v>409.18</v>
      </c>
      <c r="E18" s="28"/>
      <c r="F18" s="30" t="s">
        <v>31</v>
      </c>
      <c r="G18" s="9"/>
    </row>
    <row r="19" spans="1:7" x14ac:dyDescent="0.3">
      <c r="A19" s="6"/>
      <c r="B19" s="31" t="s">
        <v>34</v>
      </c>
      <c r="C19" s="33" t="s">
        <v>35</v>
      </c>
      <c r="D19" s="33" t="s">
        <v>38</v>
      </c>
      <c r="E19" s="33" t="s">
        <v>36</v>
      </c>
    </row>
    <row r="39" spans="11:11" x14ac:dyDescent="0.3">
      <c r="K39" t="s">
        <v>39</v>
      </c>
    </row>
  </sheetData>
  <phoneticPr fontId="3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División</vt:lpstr>
      <vt:lpstr>Sustracción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Blue</dc:creator>
  <cp:lastModifiedBy>Andrea Blue</cp:lastModifiedBy>
  <dcterms:created xsi:type="dcterms:W3CDTF">2021-02-25T18:50:35Z</dcterms:created>
  <dcterms:modified xsi:type="dcterms:W3CDTF">2021-03-17T16:30:02Z</dcterms:modified>
</cp:coreProperties>
</file>